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lg-redirect01\redirect\10008385\Desktop\"/>
    </mc:Choice>
  </mc:AlternateContent>
  <xr:revisionPtr revIDLastSave="0" documentId="13_ncr:1_{4B629AA4-13AE-482A-902B-CFC39E03F9B5}" xr6:coauthVersionLast="47" xr6:coauthVersionMax="47" xr10:uidLastSave="{00000000-0000-0000-0000-000000000000}"/>
  <workbookProtection workbookPassword="DB84" lockStructure="1"/>
  <bookViews>
    <workbookView xWindow="-120" yWindow="-120" windowWidth="29040" windowHeight="15720" xr2:uid="{DA47AF3F-652D-4A31-B096-4956066696E1}"/>
  </bookViews>
  <sheets>
    <sheet name="川口市国民健康保険税試算" sheetId="3" r:id="rId1"/>
  </sheets>
  <definedNames>
    <definedName name="_xlnm.Print_Area" localSheetId="0">川口市国民健康保険税試算!$C$1:$T$27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3" l="1"/>
  <c r="N37" i="3"/>
  <c r="N36" i="3"/>
  <c r="N35" i="3"/>
  <c r="N34" i="3"/>
  <c r="N33" i="3"/>
  <c r="N32" i="3"/>
  <c r="F32" i="3"/>
  <c r="G32" i="3"/>
  <c r="AI101" i="3"/>
  <c r="AI100" i="3"/>
  <c r="AI99" i="3"/>
  <c r="AI98" i="3"/>
  <c r="AI97" i="3"/>
  <c r="AI89" i="3"/>
  <c r="AI88" i="3"/>
  <c r="AI87" i="3"/>
  <c r="AI86" i="3"/>
  <c r="AI85" i="3"/>
  <c r="AI77" i="3"/>
  <c r="AI76" i="3"/>
  <c r="AI75" i="3"/>
  <c r="AI74" i="3"/>
  <c r="AI73" i="3"/>
  <c r="AI65" i="3"/>
  <c r="AI64" i="3"/>
  <c r="AI63" i="3"/>
  <c r="AI62" i="3"/>
  <c r="AI61" i="3"/>
  <c r="AI53" i="3"/>
  <c r="AI52" i="3"/>
  <c r="AI51" i="3"/>
  <c r="AI50" i="3"/>
  <c r="AI49" i="3"/>
  <c r="AI41" i="3"/>
  <c r="AI40" i="3"/>
  <c r="AI39" i="3"/>
  <c r="AI38" i="3"/>
  <c r="AI37" i="3"/>
  <c r="AI29" i="3"/>
  <c r="AI28" i="3"/>
  <c r="AI27" i="3"/>
  <c r="AI26" i="3"/>
  <c r="AI25" i="3"/>
  <c r="R23" i="3"/>
  <c r="N23" i="3"/>
  <c r="S12" i="3"/>
  <c r="R12" i="3"/>
  <c r="AM30" i="3"/>
  <c r="AL30" i="3"/>
  <c r="AB242" i="3"/>
  <c r="AB241" i="3"/>
  <c r="AB240" i="3"/>
  <c r="AB239" i="3"/>
  <c r="AB238" i="3"/>
  <c r="AB235" i="3"/>
  <c r="AB234" i="3"/>
  <c r="AB233" i="3"/>
  <c r="AB232" i="3"/>
  <c r="AB231" i="3"/>
  <c r="AB228" i="3"/>
  <c r="AB227" i="3"/>
  <c r="AB226" i="3"/>
  <c r="AB225" i="3"/>
  <c r="AB224" i="3"/>
  <c r="W242" i="3"/>
  <c r="W241" i="3"/>
  <c r="W240" i="3"/>
  <c r="W239" i="3"/>
  <c r="W238" i="3"/>
  <c r="W235" i="3"/>
  <c r="W234" i="3"/>
  <c r="W233" i="3"/>
  <c r="W232" i="3"/>
  <c r="W231" i="3"/>
  <c r="W228" i="3"/>
  <c r="W227" i="3"/>
  <c r="W226" i="3"/>
  <c r="W225" i="3"/>
  <c r="W224" i="3"/>
  <c r="AB209" i="3"/>
  <c r="AB208" i="3"/>
  <c r="AB207" i="3"/>
  <c r="AB206" i="3"/>
  <c r="AB205" i="3"/>
  <c r="AB202" i="3"/>
  <c r="AB201" i="3"/>
  <c r="AB200" i="3"/>
  <c r="AB199" i="3"/>
  <c r="AB198" i="3"/>
  <c r="AB195" i="3"/>
  <c r="AB194" i="3"/>
  <c r="AB193" i="3"/>
  <c r="AB192" i="3"/>
  <c r="AB191" i="3"/>
  <c r="W209" i="3"/>
  <c r="W208" i="3"/>
  <c r="W207" i="3"/>
  <c r="W206" i="3"/>
  <c r="W205" i="3"/>
  <c r="W202" i="3"/>
  <c r="W201" i="3"/>
  <c r="W200" i="3"/>
  <c r="W199" i="3"/>
  <c r="W198" i="3"/>
  <c r="W195" i="3"/>
  <c r="W194" i="3"/>
  <c r="W193" i="3"/>
  <c r="W192" i="3"/>
  <c r="W191" i="3"/>
  <c r="AB176" i="3"/>
  <c r="AB175" i="3"/>
  <c r="AB174" i="3"/>
  <c r="AB173" i="3"/>
  <c r="AB172" i="3"/>
  <c r="AB169" i="3"/>
  <c r="AB168" i="3"/>
  <c r="AB167" i="3"/>
  <c r="AB166" i="3"/>
  <c r="AB165" i="3"/>
  <c r="AB162" i="3"/>
  <c r="AB161" i="3"/>
  <c r="AB160" i="3"/>
  <c r="AB159" i="3"/>
  <c r="AB158" i="3"/>
  <c r="W176" i="3"/>
  <c r="W175" i="3"/>
  <c r="W174" i="3"/>
  <c r="W173" i="3"/>
  <c r="W172" i="3"/>
  <c r="W169" i="3"/>
  <c r="W168" i="3"/>
  <c r="W167" i="3"/>
  <c r="W166" i="3"/>
  <c r="W165" i="3"/>
  <c r="W162" i="3"/>
  <c r="W161" i="3"/>
  <c r="W160" i="3"/>
  <c r="W159" i="3"/>
  <c r="W158" i="3"/>
  <c r="AB143" i="3"/>
  <c r="AB142" i="3"/>
  <c r="AB141" i="3"/>
  <c r="AB140" i="3"/>
  <c r="AB139" i="3"/>
  <c r="AB136" i="3"/>
  <c r="AB135" i="3"/>
  <c r="AB134" i="3"/>
  <c r="AB133" i="3"/>
  <c r="AB132" i="3"/>
  <c r="AB129" i="3"/>
  <c r="AB128" i="3"/>
  <c r="AB127" i="3"/>
  <c r="AB126" i="3"/>
  <c r="AB125" i="3"/>
  <c r="W143" i="3"/>
  <c r="W142" i="3"/>
  <c r="W141" i="3"/>
  <c r="W140" i="3"/>
  <c r="W139" i="3"/>
  <c r="W136" i="3"/>
  <c r="W135" i="3"/>
  <c r="W134" i="3"/>
  <c r="W133" i="3"/>
  <c r="W132" i="3"/>
  <c r="W129" i="3"/>
  <c r="W128" i="3"/>
  <c r="W127" i="3"/>
  <c r="W126" i="3"/>
  <c r="W125" i="3"/>
  <c r="AB110" i="3"/>
  <c r="AB109" i="3"/>
  <c r="AB108" i="3"/>
  <c r="AB107" i="3"/>
  <c r="AB106" i="3"/>
  <c r="AB103" i="3"/>
  <c r="AB102" i="3"/>
  <c r="AB101" i="3"/>
  <c r="AB100" i="3"/>
  <c r="AB99" i="3"/>
  <c r="AB96" i="3"/>
  <c r="AB95" i="3"/>
  <c r="AB94" i="3"/>
  <c r="AB93" i="3"/>
  <c r="AB92" i="3"/>
  <c r="AB77" i="3"/>
  <c r="AB76" i="3"/>
  <c r="AB75" i="3"/>
  <c r="AB74" i="3"/>
  <c r="AB73" i="3"/>
  <c r="AB70" i="3"/>
  <c r="AB69" i="3"/>
  <c r="AB68" i="3"/>
  <c r="AB67" i="3"/>
  <c r="AB66" i="3"/>
  <c r="AB63" i="3"/>
  <c r="AB62" i="3"/>
  <c r="AB61" i="3"/>
  <c r="AB60" i="3"/>
  <c r="AB59" i="3"/>
  <c r="W110" i="3"/>
  <c r="W109" i="3"/>
  <c r="W108" i="3"/>
  <c r="W107" i="3"/>
  <c r="W106" i="3"/>
  <c r="W103" i="3"/>
  <c r="W102" i="3"/>
  <c r="W101" i="3"/>
  <c r="W100" i="3"/>
  <c r="W99" i="3"/>
  <c r="W96" i="3"/>
  <c r="W95" i="3"/>
  <c r="W94" i="3"/>
  <c r="W93" i="3"/>
  <c r="W92" i="3"/>
  <c r="W77" i="3"/>
  <c r="W76" i="3"/>
  <c r="W75" i="3"/>
  <c r="W74" i="3"/>
  <c r="W73" i="3"/>
  <c r="W70" i="3"/>
  <c r="W69" i="3"/>
  <c r="W68" i="3"/>
  <c r="W67" i="3"/>
  <c r="W66" i="3"/>
  <c r="W63" i="3"/>
  <c r="W62" i="3"/>
  <c r="W61" i="3"/>
  <c r="W60" i="3"/>
  <c r="W59" i="3"/>
  <c r="AB44" i="3"/>
  <c r="AB43" i="3"/>
  <c r="AB42" i="3"/>
  <c r="AB41" i="3"/>
  <c r="AB40" i="3"/>
  <c r="AB37" i="3"/>
  <c r="AB36" i="3"/>
  <c r="AB35" i="3"/>
  <c r="AB34" i="3"/>
  <c r="AB33" i="3"/>
  <c r="AB30" i="3"/>
  <c r="AB29" i="3"/>
  <c r="AB28" i="3"/>
  <c r="AB27" i="3"/>
  <c r="AB26" i="3"/>
  <c r="W44" i="3"/>
  <c r="W43" i="3"/>
  <c r="W42" i="3"/>
  <c r="W41" i="3"/>
  <c r="W40" i="3"/>
  <c r="W37" i="3"/>
  <c r="W36" i="3"/>
  <c r="W35" i="3"/>
  <c r="W34" i="3"/>
  <c r="W33" i="3"/>
  <c r="W30" i="3"/>
  <c r="W29" i="3"/>
  <c r="W28" i="3"/>
  <c r="W27" i="3"/>
  <c r="W26" i="3"/>
  <c r="Q12" i="3"/>
  <c r="P12" i="3"/>
  <c r="O12" i="3"/>
  <c r="N12" i="3"/>
  <c r="M12" i="3"/>
  <c r="L12" i="3"/>
  <c r="P23" i="3"/>
  <c r="L23" i="3"/>
  <c r="F30" i="3"/>
  <c r="G30" i="3"/>
  <c r="F31" i="3"/>
  <c r="G31" i="3"/>
  <c r="F37" i="3"/>
  <c r="G37" i="3"/>
  <c r="F36" i="3"/>
  <c r="G36" i="3"/>
  <c r="F33" i="3"/>
  <c r="G33" i="3"/>
  <c r="F34" i="3"/>
  <c r="G34" i="3"/>
  <c r="F35" i="3"/>
  <c r="G35" i="3"/>
  <c r="AM102" i="3"/>
  <c r="AL102" i="3"/>
  <c r="AL103" i="3" s="1"/>
  <c r="AM90" i="3"/>
  <c r="AL90" i="3"/>
  <c r="AM78" i="3"/>
  <c r="AL78" i="3"/>
  <c r="AL79" i="3" s="1"/>
  <c r="AM66" i="3"/>
  <c r="AL67" i="3" s="1"/>
  <c r="AM70" i="3" s="1"/>
  <c r="V16" i="3" s="1"/>
  <c r="W16" i="3" s="1"/>
  <c r="Y16" i="3" s="1"/>
  <c r="Z144" i="3" s="1"/>
  <c r="AL66" i="3"/>
  <c r="AM54" i="3"/>
  <c r="AL54" i="3"/>
  <c r="AL55" i="3" s="1"/>
  <c r="AM42" i="3"/>
  <c r="AL42" i="3"/>
  <c r="AL43" i="3" s="1"/>
  <c r="AM106" i="3" l="1"/>
  <c r="V19" i="3" s="1"/>
  <c r="W19" i="3" s="1"/>
  <c r="AL91" i="3"/>
  <c r="AM94" i="3" s="1"/>
  <c r="V18" i="3" s="1"/>
  <c r="W18" i="3" s="1"/>
  <c r="Y18" i="3" s="1"/>
  <c r="Z210" i="3" s="1"/>
  <c r="Q32" i="3"/>
  <c r="AM82" i="3"/>
  <c r="V17" i="3" s="1"/>
  <c r="W17" i="3" s="1"/>
  <c r="Y17" i="3" s="1"/>
  <c r="Z177" i="3" s="1"/>
  <c r="AL31" i="3"/>
  <c r="AM34" i="3" s="1"/>
  <c r="V13" i="3" s="1"/>
  <c r="W13" i="3" s="1"/>
  <c r="Y13" i="3" s="1"/>
  <c r="Z45" i="3" s="1"/>
  <c r="AM58" i="3"/>
  <c r="V15" i="3" s="1"/>
  <c r="W15" i="3" s="1"/>
  <c r="Y15" i="3" s="1"/>
  <c r="Z111" i="3" s="1"/>
  <c r="AM46" i="3"/>
  <c r="V14" i="3" s="1"/>
  <c r="W14" i="3" s="1"/>
  <c r="Y14" i="3" s="1"/>
  <c r="Z78" i="3" s="1"/>
  <c r="AB83" i="3" s="1"/>
  <c r="G38" i="3"/>
  <c r="Y19" i="3"/>
  <c r="Z243" i="3" s="1"/>
  <c r="AB147" i="3"/>
  <c r="X146" i="3"/>
  <c r="AB145" i="3"/>
  <c r="X145" i="3"/>
  <c r="X152" i="3" s="1"/>
  <c r="AB148" i="3"/>
  <c r="X149" i="3"/>
  <c r="W147" i="3"/>
  <c r="AC148" i="3"/>
  <c r="W149" i="3"/>
  <c r="AB149" i="3"/>
  <c r="X147" i="3"/>
  <c r="AC145" i="3"/>
  <c r="AC152" i="3" s="1"/>
  <c r="W145" i="3"/>
  <c r="W148" i="3"/>
  <c r="W146" i="3"/>
  <c r="AB150" i="3"/>
  <c r="AC146" i="3"/>
  <c r="AC149" i="3"/>
  <c r="X148" i="3"/>
  <c r="W150" i="3"/>
  <c r="AB146" i="3"/>
  <c r="AC147" i="3"/>
  <c r="P27" i="3" l="1"/>
  <c r="AC153" i="3"/>
  <c r="W84" i="3"/>
  <c r="AB81" i="3"/>
  <c r="AC79" i="3"/>
  <c r="AC86" i="3" s="1"/>
  <c r="AB84" i="3"/>
  <c r="X83" i="3"/>
  <c r="AC83" i="3"/>
  <c r="AB79" i="3"/>
  <c r="AC81" i="3"/>
  <c r="X79" i="3"/>
  <c r="X86" i="3" s="1"/>
  <c r="AB80" i="3"/>
  <c r="AC80" i="3"/>
  <c r="W80" i="3"/>
  <c r="W81" i="3"/>
  <c r="W83" i="3"/>
  <c r="X81" i="3"/>
  <c r="X80" i="3"/>
  <c r="AC82" i="3"/>
  <c r="AB82" i="3"/>
  <c r="W79" i="3"/>
  <c r="X153" i="3"/>
  <c r="X155" i="3" s="1"/>
  <c r="X16" i="3" s="1"/>
  <c r="X82" i="3"/>
  <c r="W82" i="3"/>
  <c r="X247" i="3"/>
  <c r="AC245" i="3"/>
  <c r="W246" i="3"/>
  <c r="AB245" i="3"/>
  <c r="AB244" i="3"/>
  <c r="AB247" i="3"/>
  <c r="W244" i="3"/>
  <c r="AC246" i="3"/>
  <c r="W249" i="3"/>
  <c r="W247" i="3"/>
  <c r="X246" i="3"/>
  <c r="AB249" i="3"/>
  <c r="X245" i="3"/>
  <c r="W245" i="3"/>
  <c r="X248" i="3"/>
  <c r="W248" i="3"/>
  <c r="AB248" i="3"/>
  <c r="X244" i="3"/>
  <c r="X251" i="3" s="1"/>
  <c r="AC244" i="3"/>
  <c r="AC251" i="3" s="1"/>
  <c r="AC247" i="3"/>
  <c r="AC248" i="3"/>
  <c r="AB246" i="3"/>
  <c r="W211" i="3"/>
  <c r="W216" i="3"/>
  <c r="X213" i="3"/>
  <c r="AC212" i="3"/>
  <c r="AC213" i="3"/>
  <c r="AB214" i="3"/>
  <c r="AB215" i="3"/>
  <c r="W215" i="3"/>
  <c r="AB211" i="3"/>
  <c r="AC211" i="3"/>
  <c r="AC218" i="3" s="1"/>
  <c r="AC219" i="3" s="1"/>
  <c r="W214" i="3"/>
  <c r="AC214" i="3"/>
  <c r="X214" i="3"/>
  <c r="AB213" i="3"/>
  <c r="AB216" i="3"/>
  <c r="X215" i="3"/>
  <c r="W212" i="3"/>
  <c r="AC215" i="3"/>
  <c r="X212" i="3"/>
  <c r="AB212" i="3"/>
  <c r="X211" i="3"/>
  <c r="X218" i="3" s="1"/>
  <c r="W213" i="3"/>
  <c r="X178" i="3"/>
  <c r="X185" i="3" s="1"/>
  <c r="X181" i="3"/>
  <c r="W178" i="3"/>
  <c r="W179" i="3"/>
  <c r="W181" i="3"/>
  <c r="AB181" i="3"/>
  <c r="AB182" i="3"/>
  <c r="X179" i="3"/>
  <c r="AC178" i="3"/>
  <c r="AC185" i="3" s="1"/>
  <c r="W182" i="3"/>
  <c r="AC179" i="3"/>
  <c r="X180" i="3"/>
  <c r="AC182" i="3"/>
  <c r="AC181" i="3"/>
  <c r="W183" i="3"/>
  <c r="AB179" i="3"/>
  <c r="AB180" i="3"/>
  <c r="AC180" i="3"/>
  <c r="X182" i="3"/>
  <c r="AB178" i="3"/>
  <c r="AB183" i="3"/>
  <c r="W180" i="3"/>
  <c r="X116" i="3"/>
  <c r="AB113" i="3"/>
  <c r="W112" i="3"/>
  <c r="X112" i="3"/>
  <c r="X119" i="3" s="1"/>
  <c r="W113" i="3"/>
  <c r="X115" i="3"/>
  <c r="W114" i="3"/>
  <c r="AC114" i="3"/>
  <c r="AC113" i="3"/>
  <c r="AC112" i="3"/>
  <c r="AC119" i="3" s="1"/>
  <c r="AC116" i="3"/>
  <c r="AC115" i="3"/>
  <c r="W115" i="3"/>
  <c r="W117" i="3"/>
  <c r="AB117" i="3"/>
  <c r="AB114" i="3"/>
  <c r="X114" i="3"/>
  <c r="AB112" i="3"/>
  <c r="W116" i="3"/>
  <c r="AB115" i="3"/>
  <c r="X113" i="3"/>
  <c r="AB116" i="3"/>
  <c r="AB49" i="3"/>
  <c r="AB46" i="3"/>
  <c r="AB48" i="3"/>
  <c r="W47" i="3"/>
  <c r="W49" i="3"/>
  <c r="W51" i="3"/>
  <c r="AB47" i="3"/>
  <c r="X49" i="3"/>
  <c r="W50" i="3"/>
  <c r="W48" i="3"/>
  <c r="AB50" i="3"/>
  <c r="X50" i="3"/>
  <c r="AC48" i="3"/>
  <c r="W46" i="3"/>
  <c r="AB51" i="3"/>
  <c r="X46" i="3"/>
  <c r="X53" i="3" s="1"/>
  <c r="AC47" i="3"/>
  <c r="X48" i="3"/>
  <c r="AC46" i="3"/>
  <c r="AC53" i="3" s="1"/>
  <c r="AC49" i="3"/>
  <c r="X47" i="3"/>
  <c r="AC50" i="3"/>
  <c r="L35" i="3" l="1"/>
  <c r="Z16" i="3"/>
  <c r="AA16" i="3" s="1"/>
  <c r="J16" i="3" s="1"/>
  <c r="AB16" i="3"/>
  <c r="AC16" i="3" s="1"/>
  <c r="AC186" i="3"/>
  <c r="X120" i="3"/>
  <c r="X122" i="3" s="1"/>
  <c r="X15" i="3" s="1"/>
  <c r="AC120" i="3"/>
  <c r="X87" i="3"/>
  <c r="X89" i="3" s="1"/>
  <c r="X14" i="3" s="1"/>
  <c r="AC87" i="3"/>
  <c r="AC252" i="3"/>
  <c r="X252" i="3"/>
  <c r="X254" i="3" s="1"/>
  <c r="X19" i="3" s="1"/>
  <c r="X219" i="3"/>
  <c r="X221" i="3" s="1"/>
  <c r="X18" i="3" s="1"/>
  <c r="AC54" i="3"/>
  <c r="X54" i="3"/>
  <c r="X56" i="3" s="1"/>
  <c r="X13" i="3" s="1"/>
  <c r="X186" i="3"/>
  <c r="X188" i="3" s="1"/>
  <c r="X17" i="3" s="1"/>
  <c r="K16" i="3" l="1"/>
  <c r="M35" i="3"/>
  <c r="L38" i="3"/>
  <c r="Z19" i="3"/>
  <c r="AA19" i="3" s="1"/>
  <c r="J19" i="3" s="1"/>
  <c r="AB19" i="3"/>
  <c r="AC19" i="3" s="1"/>
  <c r="AB18" i="3"/>
  <c r="AC18" i="3" s="1"/>
  <c r="Z18" i="3"/>
  <c r="AA18" i="3" s="1"/>
  <c r="J18" i="3" s="1"/>
  <c r="L37" i="3"/>
  <c r="AB17" i="3"/>
  <c r="AC17" i="3" s="1"/>
  <c r="Z17" i="3"/>
  <c r="AA17" i="3" s="1"/>
  <c r="J17" i="3" s="1"/>
  <c r="L36" i="3"/>
  <c r="L34" i="3"/>
  <c r="Z15" i="3"/>
  <c r="AA15" i="3" s="1"/>
  <c r="J15" i="3" s="1"/>
  <c r="AB15" i="3"/>
  <c r="AC15" i="3" s="1"/>
  <c r="L33" i="3"/>
  <c r="AB14" i="3"/>
  <c r="AC14" i="3" s="1"/>
  <c r="Z14" i="3"/>
  <c r="AA14" i="3" s="1"/>
  <c r="J14" i="3" s="1"/>
  <c r="Z13" i="3"/>
  <c r="AA13" i="3" s="1"/>
  <c r="J13" i="3" s="1"/>
  <c r="AB13" i="3"/>
  <c r="AC13" i="3" s="1"/>
  <c r="L32" i="3"/>
  <c r="M38" i="3" l="1"/>
  <c r="K19" i="3"/>
  <c r="K18" i="3"/>
  <c r="M37" i="3"/>
  <c r="M36" i="3"/>
  <c r="K17" i="3"/>
  <c r="M16" i="3"/>
  <c r="R16" i="3"/>
  <c r="S16" i="3"/>
  <c r="P16" i="3"/>
  <c r="O16" i="3"/>
  <c r="Q16" i="3"/>
  <c r="L16" i="3"/>
  <c r="N16" i="3"/>
  <c r="K15" i="3"/>
  <c r="M34" i="3"/>
  <c r="M33" i="3"/>
  <c r="K14" i="3"/>
  <c r="K13" i="3"/>
  <c r="M32" i="3"/>
  <c r="M19" i="3" l="1"/>
  <c r="P19" i="3"/>
  <c r="L19" i="3"/>
  <c r="N19" i="3"/>
  <c r="S19" i="3"/>
  <c r="O19" i="3"/>
  <c r="R19" i="3"/>
  <c r="Q19" i="3"/>
  <c r="N18" i="3"/>
  <c r="Q18" i="3"/>
  <c r="M18" i="3"/>
  <c r="P18" i="3"/>
  <c r="O18" i="3"/>
  <c r="L18" i="3"/>
  <c r="S18" i="3"/>
  <c r="R18" i="3"/>
  <c r="Q35" i="3"/>
  <c r="Q38" i="3" s="1"/>
  <c r="L17" i="3"/>
  <c r="M17" i="3"/>
  <c r="N17" i="3"/>
  <c r="R17" i="3"/>
  <c r="P17" i="3"/>
  <c r="Q17" i="3"/>
  <c r="S17" i="3"/>
  <c r="O17" i="3"/>
  <c r="L15" i="3"/>
  <c r="R15" i="3"/>
  <c r="O15" i="3"/>
  <c r="N15" i="3"/>
  <c r="Q15" i="3"/>
  <c r="P15" i="3"/>
  <c r="S15" i="3"/>
  <c r="M15" i="3"/>
  <c r="M14" i="3"/>
  <c r="Q14" i="3"/>
  <c r="O14" i="3"/>
  <c r="S14" i="3"/>
  <c r="N14" i="3"/>
  <c r="P14" i="3"/>
  <c r="L14" i="3"/>
  <c r="R14" i="3"/>
  <c r="O13" i="3"/>
  <c r="R13" i="3"/>
  <c r="N13" i="3"/>
  <c r="S13" i="3"/>
  <c r="L13" i="3"/>
  <c r="M13" i="3"/>
  <c r="Q13" i="3"/>
  <c r="P13" i="3"/>
  <c r="L20" i="3" l="1"/>
  <c r="K42" i="3"/>
  <c r="L21" i="3" s="1"/>
  <c r="M42" i="3"/>
  <c r="N21" i="3" s="1"/>
  <c r="N20" i="3"/>
  <c r="Q42" i="3"/>
  <c r="R21" i="3" s="1"/>
  <c r="R20" i="3"/>
  <c r="O42" i="3"/>
  <c r="P21" i="3" s="1"/>
  <c r="P20" i="3"/>
  <c r="P22" i="3" l="1"/>
  <c r="R22" i="3"/>
  <c r="L22" i="3"/>
  <c r="N22" i="3"/>
  <c r="P25" i="3" l="1"/>
  <c r="P26" i="3" s="1"/>
  <c r="K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kwg</author>
  </authors>
  <commentList>
    <comment ref="L11" authorId="0" shapeId="0" xr:uid="{8215D04B-8989-4B4B-8AD8-0FB092F8A090}">
      <text>
        <r>
          <rPr>
            <sz val="11"/>
            <rFont val="ＭＳ ゴシック"/>
            <family val="3"/>
            <charset val="128"/>
          </rPr>
          <t>【均等割】所得に関係なく加入するかた全てに課税する額です。</t>
        </r>
      </text>
    </comment>
    <comment ref="M11" authorId="0" shapeId="0" xr:uid="{4C35CEF1-3C22-415E-8855-473EF7BD4EE4}">
      <text>
        <r>
          <rPr>
            <sz val="11"/>
            <rFont val="ＭＳ Ｐゴシック"/>
            <family val="3"/>
            <charset val="128"/>
          </rPr>
          <t>【所得割】所得に応じて課税標準所得額から税率を乗算します。</t>
        </r>
      </text>
    </comment>
    <comment ref="C13" authorId="0" shapeId="0" xr:uid="{5674D6F8-D827-423B-B349-EAC37286C17E}">
      <text>
        <r>
          <rPr>
            <sz val="11"/>
            <rFont val="ＭＳ Ｐゴシック"/>
            <family val="3"/>
            <charset val="128"/>
          </rPr>
          <t>１．世帯主が加入する場合はレ点
２．世帯主が加入しない場合はレ点不要
３．１・２どちらも給与収入等がある場合は、金額を入力してください。</t>
        </r>
      </text>
    </comment>
    <comment ref="J21" authorId="0" shapeId="0" xr:uid="{3833D48C-5B36-4AA2-836A-226A2BB5F13A}">
      <text>
        <r>
          <rPr>
            <sz val="11"/>
            <color indexed="8"/>
            <rFont val="ＭＳ Ｐゴシック"/>
            <family val="3"/>
            <charset val="128"/>
            <scheme val="minor"/>
          </rPr>
          <t>軽減に該当する場合は、下の【均等割軽減率】に応じた額が、加入者全ての均等割額から減額します。
計算方法は下記ホームページを参照してください。
https://www.city.kawaguchi.lg.jp/soshiki/01090/030/kokuminkenkouhokenzei/3340.html</t>
        </r>
      </text>
    </comment>
  </commentList>
</comments>
</file>

<file path=xl/sharedStrings.xml><?xml version="1.0" encoding="utf-8"?>
<sst xmlns="http://schemas.openxmlformats.org/spreadsheetml/2006/main" count="148" uniqueCount="85">
  <si>
    <t>（単位：円）</t>
    <rPh sb="1" eb="3">
      <t>タンイ</t>
    </rPh>
    <rPh sb="4" eb="5">
      <t>エン</t>
    </rPh>
    <phoneticPr fontId="2"/>
  </si>
  <si>
    <t>均等割</t>
    <rPh sb="0" eb="2">
      <t>キントウ</t>
    </rPh>
    <rPh sb="2" eb="3">
      <t>ワリ</t>
    </rPh>
    <phoneticPr fontId="2"/>
  </si>
  <si>
    <t>所得割</t>
    <rPh sb="0" eb="2">
      <t>ショトク</t>
    </rPh>
    <rPh sb="2" eb="3">
      <t>ワリ</t>
    </rPh>
    <phoneticPr fontId="2"/>
  </si>
  <si>
    <t>総所得
金額等</t>
    <rPh sb="0" eb="3">
      <t>ソウショトク</t>
    </rPh>
    <rPh sb="4" eb="6">
      <t>キンガク</t>
    </rPh>
    <rPh sb="6" eb="7">
      <t>トウ</t>
    </rPh>
    <phoneticPr fontId="2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</si>
  <si>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2"/>
  </si>
  <si>
    <t>後期高齢支援金分</t>
    <rPh sb="0" eb="2">
      <t>コウキ</t>
    </rPh>
    <rPh sb="2" eb="4">
      <t>コウレイ</t>
    </rPh>
    <rPh sb="4" eb="7">
      <t>シエンキン</t>
    </rPh>
    <rPh sb="7" eb="8">
      <t>ブン</t>
    </rPh>
    <phoneticPr fontId="2"/>
  </si>
  <si>
    <r>
      <t>介護納付金分</t>
    </r>
    <r>
      <rPr>
        <sz val="9"/>
        <color indexed="10"/>
        <rFont val="ＭＳ Ｐゴシック"/>
        <family val="3"/>
        <charset val="128"/>
      </rPr>
      <t>（40～64歳）</t>
    </r>
    <rPh sb="0" eb="2">
      <t>カイゴ</t>
    </rPh>
    <rPh sb="2" eb="5">
      <t>ノウフキン</t>
    </rPh>
    <rPh sb="5" eb="6">
      <t>ブン</t>
    </rPh>
    <rPh sb="12" eb="13">
      <t>サイ</t>
    </rPh>
    <phoneticPr fontId="2"/>
  </si>
  <si>
    <r>
      <t>課税標準
所得額</t>
    </r>
    <r>
      <rPr>
        <b/>
        <sz val="9"/>
        <color indexed="10"/>
        <rFont val="ＭＳ Ｐゴシック"/>
        <family val="3"/>
        <charset val="128"/>
      </rPr>
      <t>※１</t>
    </r>
    <rPh sb="0" eb="2">
      <t>カゼイ</t>
    </rPh>
    <rPh sb="2" eb="4">
      <t>ヒョウジュン</t>
    </rPh>
    <rPh sb="5" eb="7">
      <t>ショトク</t>
    </rPh>
    <rPh sb="7" eb="8">
      <t>ガク</t>
    </rPh>
    <phoneticPr fontId="2"/>
  </si>
  <si>
    <r>
      <t>１ヵ月あたり</t>
    </r>
    <r>
      <rPr>
        <b/>
        <sz val="10"/>
        <color indexed="10"/>
        <rFont val="ＭＳ Ｐゴシック"/>
        <family val="3"/>
        <charset val="128"/>
      </rPr>
      <t>※２</t>
    </r>
    <rPh sb="2" eb="3">
      <t>ゲツ</t>
    </rPh>
    <phoneticPr fontId="2"/>
  </si>
  <si>
    <t>　川口市　国民健康保険課　資格第１・第２係</t>
    <rPh sb="1" eb="3">
      <t>カワグチ</t>
    </rPh>
    <rPh sb="3" eb="4">
      <t>シ</t>
    </rPh>
    <rPh sb="5" eb="7">
      <t>コクミン</t>
    </rPh>
    <rPh sb="7" eb="9">
      <t>ケンコウ</t>
    </rPh>
    <rPh sb="9" eb="12">
      <t>ホケンカ</t>
    </rPh>
    <rPh sb="13" eb="15">
      <t>シカク</t>
    </rPh>
    <rPh sb="15" eb="16">
      <t>ダイ</t>
    </rPh>
    <rPh sb="18" eb="19">
      <t>ダイ</t>
    </rPh>
    <rPh sb="20" eb="21">
      <t>カカリ</t>
    </rPh>
    <phoneticPr fontId="2"/>
  </si>
  <si>
    <t>給与収入</t>
    <rPh sb="0" eb="2">
      <t>キュウヨ</t>
    </rPh>
    <rPh sb="2" eb="4">
      <t>シュウニュウ</t>
    </rPh>
    <phoneticPr fontId="2"/>
  </si>
  <si>
    <t>年金収入</t>
    <rPh sb="0" eb="2">
      <t>ネンキン</t>
    </rPh>
    <rPh sb="2" eb="4">
      <t>シュウニュウ</t>
    </rPh>
    <phoneticPr fontId="2"/>
  </si>
  <si>
    <t>その他所得</t>
    <rPh sb="2" eb="3">
      <t>タ</t>
    </rPh>
    <rPh sb="3" eb="5">
      <t>ショトク</t>
    </rPh>
    <phoneticPr fontId="2"/>
  </si>
  <si>
    <t>給与所得</t>
    <rPh sb="0" eb="2">
      <t>キュウヨ</t>
    </rPh>
    <rPh sb="2" eb="4">
      <t>ショトク</t>
    </rPh>
    <phoneticPr fontId="2"/>
  </si>
  <si>
    <t>年金所得</t>
    <rPh sb="0" eb="2">
      <t>ネンキン</t>
    </rPh>
    <rPh sb="2" eb="4">
      <t>ショトク</t>
    </rPh>
    <phoneticPr fontId="2"/>
  </si>
  <si>
    <t>均等割軽減金額</t>
    <rPh sb="0" eb="3">
      <t>キントウワ</t>
    </rPh>
    <rPh sb="3" eb="5">
      <t>ケイゲン</t>
    </rPh>
    <rPh sb="5" eb="7">
      <t>キンガク</t>
    </rPh>
    <phoneticPr fontId="2"/>
  </si>
  <si>
    <r>
      <rPr>
        <sz val="15"/>
        <color indexed="8"/>
        <rFont val="ＭＳ Ｐゴシック"/>
        <family val="3"/>
        <charset val="128"/>
      </rPr>
      <t>軽減後の金額</t>
    </r>
    <r>
      <rPr>
        <sz val="14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ゴシック"/>
        <family val="3"/>
        <charset val="128"/>
      </rPr>
      <t>（100円未満切捨て）</t>
    </r>
    <rPh sb="0" eb="2">
      <t>ケイゲン</t>
    </rPh>
    <rPh sb="2" eb="3">
      <t>ゴ</t>
    </rPh>
    <rPh sb="4" eb="6">
      <t>キンガク</t>
    </rPh>
    <rPh sb="11" eb="12">
      <t>エン</t>
    </rPh>
    <rPh sb="12" eb="14">
      <t>ミマン</t>
    </rPh>
    <rPh sb="14" eb="16">
      <t>キリス</t>
    </rPh>
    <phoneticPr fontId="2"/>
  </si>
  <si>
    <r>
      <t xml:space="preserve">         </t>
    </r>
    <r>
      <rPr>
        <b/>
        <sz val="11"/>
        <color indexed="10"/>
        <rFont val="ＭＳ Ｐゴシック"/>
        <family val="3"/>
        <charset val="128"/>
      </rPr>
      <t xml:space="preserve"> ※２</t>
    </r>
    <r>
      <rPr>
        <sz val="11"/>
        <color indexed="8"/>
        <rFont val="ＭＳ Ｐゴシック"/>
        <family val="3"/>
        <charset val="128"/>
        <scheme val="minor"/>
      </rPr>
      <t>　納付回数は８回（特別徴収は６回）のため、１ヵ月
　　　　　　　　あたりの金額が１回の支払額とはなりません。</t>
    </r>
    <rPh sb="21" eb="23">
      <t>トクベツ</t>
    </rPh>
    <rPh sb="23" eb="25">
      <t>チョウシュウ</t>
    </rPh>
    <rPh sb="27" eb="28">
      <t>カイ</t>
    </rPh>
    <rPh sb="55" eb="57">
      <t>シハライ</t>
    </rPh>
    <phoneticPr fontId="2"/>
  </si>
  <si>
    <t>賦課限度額</t>
    <rPh sb="0" eb="2">
      <t>フカ</t>
    </rPh>
    <rPh sb="2" eb="4">
      <t>ゲンド</t>
    </rPh>
    <rPh sb="4" eb="5">
      <t>ガク</t>
    </rPh>
    <phoneticPr fontId="2"/>
  </si>
  <si>
    <t>給与所得算出</t>
    <rPh sb="0" eb="2">
      <t>キュウヨ</t>
    </rPh>
    <rPh sb="2" eb="4">
      <t>ショトク</t>
    </rPh>
    <rPh sb="4" eb="6">
      <t>サンシュツ</t>
    </rPh>
    <phoneticPr fontId="2"/>
  </si>
  <si>
    <t>65歳未満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</si>
  <si>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</si>
  <si>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TEL　０４８－２５９－７６６９　　　  　　　　　　　　　　</t>
    <phoneticPr fontId="2"/>
  </si>
  <si>
    <t>.</t>
    <phoneticPr fontId="2"/>
  </si>
  <si>
    <t>https://www.city.kawaguchi.lg.jp/soshiki/01090/030/kokuminkenkouhokenzei/3340.html</t>
    <phoneticPr fontId="2"/>
  </si>
  <si>
    <t>https://www.city.kawaguchi.lg.jp/soshiki/01090/030/1_1/3313.html</t>
    <phoneticPr fontId="2"/>
  </si>
  <si>
    <t>医療給付費</t>
    <rPh sb="0" eb="2">
      <t>イリョウ</t>
    </rPh>
    <rPh sb="2" eb="4">
      <t>キュウフ</t>
    </rPh>
    <rPh sb="4" eb="5">
      <t>ヒ</t>
    </rPh>
    <phoneticPr fontId="2"/>
  </si>
  <si>
    <t>介護納付金</t>
    <rPh sb="0" eb="2">
      <t>カイゴ</t>
    </rPh>
    <rPh sb="2" eb="5">
      <t>ノウフキン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</si>
  <si>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</si>
  <si>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均等割軽減区分</t>
    <rPh sb="0" eb="3">
      <t>キントウワ</t>
    </rPh>
    <rPh sb="3" eb="5">
      <t>ケイゲン</t>
    </rPh>
    <rPh sb="5" eb="7">
      <t>クブン</t>
    </rPh>
    <phoneticPr fontId="2"/>
  </si>
  <si>
    <t>所得</t>
    <rPh sb="0" eb="2">
      <t>ショトク</t>
    </rPh>
    <phoneticPr fontId="2"/>
  </si>
  <si>
    <t>軽減判定基準額</t>
    <rPh sb="0" eb="2">
      <t>ケイゲン</t>
    </rPh>
    <rPh sb="2" eb="4">
      <t>ハンテイ</t>
    </rPh>
    <rPh sb="4" eb="6">
      <t>キジュン</t>
    </rPh>
    <rPh sb="6" eb="7">
      <t>ガク</t>
    </rPh>
    <phoneticPr fontId="2"/>
  </si>
  <si>
    <t>加入者</t>
    <rPh sb="0" eb="2">
      <t>カニュウ</t>
    </rPh>
    <rPh sb="2" eb="3">
      <t>シャ</t>
    </rPh>
    <phoneticPr fontId="2"/>
  </si>
  <si>
    <t>軽減後金額</t>
    <rPh sb="0" eb="2">
      <t>ケイゲン</t>
    </rPh>
    <rPh sb="2" eb="3">
      <t>アト</t>
    </rPh>
    <rPh sb="3" eb="5">
      <t>キンガク</t>
    </rPh>
    <phoneticPr fontId="2"/>
  </si>
  <si>
    <t>後期高齢支援金</t>
    <rPh sb="0" eb="2">
      <t>コウキ</t>
    </rPh>
    <rPh sb="2" eb="4">
      <t>コウレイ</t>
    </rPh>
    <rPh sb="4" eb="7">
      <t>シエンキン</t>
    </rPh>
    <phoneticPr fontId="2"/>
  </si>
  <si>
    <t>世帯主</t>
    <rPh sb="0" eb="3">
      <t>セタイヌシ</t>
    </rPh>
    <phoneticPr fontId="2"/>
  </si>
  <si>
    <t>加入者</t>
    <rPh sb="0" eb="3">
      <t>カニュウシャ</t>
    </rPh>
    <phoneticPr fontId="2"/>
  </si>
  <si>
    <t>加入者</t>
    <phoneticPr fontId="2"/>
  </si>
  <si>
    <t>ご加入人数</t>
    <rPh sb="1" eb="3">
      <t>カニュウ</t>
    </rPh>
    <rPh sb="3" eb="5">
      <t>ニンズウ</t>
    </rPh>
    <phoneticPr fontId="29"/>
  </si>
  <si>
    <t xml:space="preserve">年　　齢　　 
区　　分     </t>
    <rPh sb="0" eb="1">
      <t>トシ</t>
    </rPh>
    <rPh sb="3" eb="4">
      <t>トシ</t>
    </rPh>
    <rPh sb="8" eb="9">
      <t>ク</t>
    </rPh>
    <rPh sb="11" eb="12">
      <t>ブン</t>
    </rPh>
    <phoneticPr fontId="2"/>
  </si>
  <si>
    <t>毎年直すところ（給与所得、年金所得の算出方法が変更になったときはそっちも変更すること）</t>
    <rPh sb="0" eb="2">
      <t>マイトシ</t>
    </rPh>
    <rPh sb="2" eb="3">
      <t>ナオ</t>
    </rPh>
    <rPh sb="8" eb="10">
      <t>キュウヨ</t>
    </rPh>
    <rPh sb="10" eb="12">
      <t>ショトク</t>
    </rPh>
    <rPh sb="13" eb="15">
      <t>ネンキン</t>
    </rPh>
    <rPh sb="15" eb="17">
      <t>ショトク</t>
    </rPh>
    <rPh sb="18" eb="20">
      <t>サンシュツ</t>
    </rPh>
    <rPh sb="20" eb="22">
      <t>ホウホウ</t>
    </rPh>
    <rPh sb="23" eb="25">
      <t>ヘンコウ</t>
    </rPh>
    <rPh sb="36" eb="38">
      <t>ヘンコウ</t>
    </rPh>
    <phoneticPr fontId="29"/>
  </si>
  <si>
    <t>限度額</t>
    <rPh sb="0" eb="2">
      <t>ゲンド</t>
    </rPh>
    <rPh sb="2" eb="3">
      <t>ガク</t>
    </rPh>
    <phoneticPr fontId="29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</si>
  <si>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29"/>
  </si>
  <si>
    <t>後期高齢者支援金分</t>
    <rPh sb="0" eb="2">
      <t>コウキ</t>
    </rPh>
    <rPh sb="2" eb="5">
      <t>コウレイシャ</t>
    </rPh>
    <rPh sb="5" eb="7">
      <t>シエン</t>
    </rPh>
    <rPh sb="7" eb="8">
      <t>キン</t>
    </rPh>
    <rPh sb="8" eb="9">
      <t>ブン</t>
    </rPh>
    <phoneticPr fontId="29"/>
  </si>
  <si>
    <t>介護納付金分</t>
    <rPh sb="0" eb="2">
      <t>カイゴ</t>
    </rPh>
    <rPh sb="2" eb="5">
      <t>ノウフキン</t>
    </rPh>
    <rPh sb="5" eb="6">
      <t>ブン</t>
    </rPh>
    <phoneticPr fontId="29"/>
  </si>
  <si>
    <t>軽減判定</t>
    <rPh sb="0" eb="2">
      <t>ケイゲン</t>
    </rPh>
    <rPh sb="2" eb="4">
      <t>ハンテイ</t>
    </rPh>
    <phoneticPr fontId="29"/>
  </si>
  <si>
    <t>7割</t>
    <rPh sb="1" eb="2">
      <t>ワリ</t>
    </rPh>
    <phoneticPr fontId="29"/>
  </si>
  <si>
    <t>5割</t>
    <rPh sb="1" eb="2">
      <t>ワリ</t>
    </rPh>
    <phoneticPr fontId="29"/>
  </si>
  <si>
    <t>2割</t>
    <rPh sb="1" eb="2">
      <t>ワリ</t>
    </rPh>
    <phoneticPr fontId="29"/>
  </si>
  <si>
    <t>均等割</t>
    <rPh sb="0" eb="3">
      <t>キントウワ</t>
    </rPh>
    <phoneticPr fontId="29"/>
  </si>
  <si>
    <t>所得割</t>
    <rPh sb="0" eb="2">
      <t>ショトク</t>
    </rPh>
    <rPh sb="2" eb="3">
      <t>ワリ</t>
    </rPh>
    <phoneticPr fontId="29"/>
  </si>
  <si>
    <t>基礎控除</t>
    <rPh sb="0" eb="2">
      <t>キソ</t>
    </rPh>
    <rPh sb="2" eb="4">
      <t>コウジョ</t>
    </rPh>
    <phoneticPr fontId="29"/>
  </si>
  <si>
    <t>年金所得算出</t>
    <rPh sb="0" eb="2">
      <t>ネンキン</t>
    </rPh>
    <rPh sb="2" eb="4">
      <t>ショトク</t>
    </rPh>
    <rPh sb="4" eb="6">
      <t>サンシュツ</t>
    </rPh>
    <phoneticPr fontId="29"/>
  </si>
  <si>
    <t>以下　　　　1</t>
    <rPh sb="0" eb="2">
      <t>イカ</t>
    </rPh>
    <phoneticPr fontId="29"/>
  </si>
  <si>
    <t>以下　　　　2</t>
    <rPh sb="0" eb="2">
      <t>イカ</t>
    </rPh>
    <phoneticPr fontId="29"/>
  </si>
  <si>
    <t>以上　　　　3</t>
    <rPh sb="0" eb="2">
      <t>イジョウ</t>
    </rPh>
    <phoneticPr fontId="29"/>
  </si>
  <si>
    <t>年金以外の合計所得</t>
    <rPh sb="0" eb="2">
      <t>ネンキン</t>
    </rPh>
    <rPh sb="2" eb="4">
      <t>イガイ</t>
    </rPh>
    <rPh sb="5" eb="7">
      <t>ゴウケイ</t>
    </rPh>
    <rPh sb="7" eb="9">
      <t>ショトク</t>
    </rPh>
    <phoneticPr fontId="29"/>
  </si>
  <si>
    <t>年金以外の</t>
    <rPh sb="0" eb="2">
      <t>ネンキン</t>
    </rPh>
    <rPh sb="2" eb="4">
      <t>イガイ</t>
    </rPh>
    <phoneticPr fontId="29"/>
  </si>
  <si>
    <t>合計所得判定</t>
    <rPh sb="0" eb="2">
      <t>ゴウケイ</t>
    </rPh>
    <rPh sb="2" eb="4">
      <t>ショトク</t>
    </rPh>
    <rPh sb="4" eb="6">
      <t>ハンテイ</t>
    </rPh>
    <phoneticPr fontId="29"/>
  </si>
  <si>
    <r>
      <t>■試算の手順   　</t>
    </r>
    <r>
      <rPr>
        <b/>
        <sz val="13"/>
        <color indexed="17"/>
        <rFont val="ＭＳ Ｐゴシック"/>
        <family val="3"/>
        <charset val="128"/>
      </rPr>
      <t>緑</t>
    </r>
    <r>
      <rPr>
        <b/>
        <sz val="13"/>
        <color indexed="17"/>
        <rFont val="ＭＳ Ｐゴシック"/>
        <family val="3"/>
        <charset val="128"/>
      </rPr>
      <t>太枠内</t>
    </r>
    <r>
      <rPr>
        <b/>
        <u/>
        <sz val="13"/>
        <color indexed="8"/>
        <rFont val="ＭＳ Ｐゴシック"/>
        <family val="3"/>
        <charset val="128"/>
      </rPr>
      <t>の入力</t>
    </r>
    <r>
      <rPr>
        <sz val="13"/>
        <color indexed="8"/>
        <rFont val="ＭＳ Ｐゴシック"/>
        <family val="3"/>
        <charset val="128"/>
      </rPr>
      <t>が必要となります。</t>
    </r>
    <rPh sb="1" eb="3">
      <t>シサン</t>
    </rPh>
    <rPh sb="4" eb="6">
      <t>テジュン</t>
    </rPh>
    <rPh sb="10" eb="11">
      <t>ミドリ</t>
    </rPh>
    <rPh sb="11" eb="13">
      <t>フトワク</t>
    </rPh>
    <rPh sb="13" eb="14">
      <t>ナイ</t>
    </rPh>
    <rPh sb="15" eb="17">
      <t>ニュウリョク</t>
    </rPh>
    <rPh sb="18" eb="20">
      <t>ヒツヨウ</t>
    </rPh>
    <phoneticPr fontId="2"/>
  </si>
  <si>
    <t>調整控除</t>
    <rPh sb="0" eb="2">
      <t>チョウセイ</t>
    </rPh>
    <rPh sb="2" eb="4">
      <t>コウジョ</t>
    </rPh>
    <phoneticPr fontId="29"/>
  </si>
  <si>
    <t>調整控除後
給与所得</t>
    <rPh sb="0" eb="2">
      <t>チョウセイ</t>
    </rPh>
    <rPh sb="2" eb="4">
      <t>コウジョ</t>
    </rPh>
    <rPh sb="4" eb="5">
      <t>ゴ</t>
    </rPh>
    <rPh sb="6" eb="8">
      <t>キュウヨ</t>
    </rPh>
    <rPh sb="8" eb="10">
      <t>ショトク</t>
    </rPh>
    <phoneticPr fontId="29"/>
  </si>
  <si>
    <t>65歳以上
軽減判定用
調整控除</t>
    <rPh sb="2" eb="5">
      <t>サイイジョウ</t>
    </rPh>
    <rPh sb="6" eb="8">
      <t>ケイゲン</t>
    </rPh>
    <rPh sb="8" eb="11">
      <t>ハンテイヨウ</t>
    </rPh>
    <rPh sb="12" eb="14">
      <t>チョウセイ</t>
    </rPh>
    <rPh sb="14" eb="16">
      <t>コウジョ</t>
    </rPh>
    <phoneticPr fontId="29"/>
  </si>
  <si>
    <t>65歳以上
軽減判定用
給与所得</t>
    <rPh sb="2" eb="3">
      <t>サイ</t>
    </rPh>
    <rPh sb="3" eb="5">
      <t>イジョウ</t>
    </rPh>
    <rPh sb="6" eb="8">
      <t>ケイゲン</t>
    </rPh>
    <rPh sb="8" eb="11">
      <t>ハンテイヨウ</t>
    </rPh>
    <rPh sb="12" eb="14">
      <t>キュウヨ</t>
    </rPh>
    <rPh sb="14" eb="16">
      <t>ショトク</t>
    </rPh>
    <phoneticPr fontId="29"/>
  </si>
  <si>
    <t>年金
65歳以上</t>
    <rPh sb="0" eb="2">
      <t>ネンキン</t>
    </rPh>
    <rPh sb="5" eb="6">
      <t>サイ</t>
    </rPh>
    <rPh sb="6" eb="8">
      <t>イジョウ</t>
    </rPh>
    <phoneticPr fontId="2"/>
  </si>
  <si>
    <t>軽減判定
所得</t>
    <rPh sb="0" eb="2">
      <t>ケイゲン</t>
    </rPh>
    <rPh sb="2" eb="4">
      <t>ハンテイ</t>
    </rPh>
    <rPh sb="5" eb="7">
      <t>ショトク</t>
    </rPh>
    <phoneticPr fontId="2"/>
  </si>
  <si>
    <t>給与所得者等判定</t>
    <rPh sb="0" eb="2">
      <t>キュウヨ</t>
    </rPh>
    <rPh sb="2" eb="4">
      <t>ショトク</t>
    </rPh>
    <rPh sb="4" eb="5">
      <t>シャ</t>
    </rPh>
    <rPh sb="5" eb="6">
      <t>トウ</t>
    </rPh>
    <rPh sb="6" eb="8">
      <t>ハンテイ</t>
    </rPh>
    <phoneticPr fontId="29"/>
  </si>
  <si>
    <t>給与所得者等</t>
    <rPh sb="0" eb="2">
      <t>キュウヨ</t>
    </rPh>
    <rPh sb="2" eb="4">
      <t>ショトク</t>
    </rPh>
    <rPh sb="4" eb="5">
      <t>シャ</t>
    </rPh>
    <rPh sb="5" eb="6">
      <t>トウ</t>
    </rPh>
    <phoneticPr fontId="29"/>
  </si>
  <si>
    <t>非自発</t>
    <rPh sb="0" eb="3">
      <t>ヒジハツ</t>
    </rPh>
    <phoneticPr fontId="29"/>
  </si>
  <si>
    <t>均等割軽減率</t>
    <rPh sb="0" eb="3">
      <t>キントウワ</t>
    </rPh>
    <rPh sb="3" eb="6">
      <t>ケイゲンリツ</t>
    </rPh>
    <phoneticPr fontId="29"/>
  </si>
  <si>
    <t xml:space="preserve">         国保課窓口用</t>
    <phoneticPr fontId="29"/>
  </si>
  <si>
    <t>子ども支援金分</t>
    <rPh sb="0" eb="1">
      <t>コ</t>
    </rPh>
    <rPh sb="3" eb="6">
      <t>シエンキン</t>
    </rPh>
    <rPh sb="6" eb="7">
      <t>ブン</t>
    </rPh>
    <phoneticPr fontId="29"/>
  </si>
  <si>
    <t>均等割</t>
    <rPh sb="0" eb="3">
      <t>キントウワリ</t>
    </rPh>
    <phoneticPr fontId="29"/>
  </si>
  <si>
    <t>　２．　１．のかたの給与収入等（令和7年1月～令和7年12月分）を入力してください。</t>
    <rPh sb="10" eb="12">
      <t>キュウヨ</t>
    </rPh>
    <rPh sb="12" eb="14">
      <t>シュウニュウ</t>
    </rPh>
    <rPh sb="16" eb="17">
      <t>レイ</t>
    </rPh>
    <rPh sb="17" eb="18">
      <t>ワ</t>
    </rPh>
    <rPh sb="19" eb="20">
      <t>ネン</t>
    </rPh>
    <rPh sb="20" eb="21">
      <t>ヘイネン</t>
    </rPh>
    <rPh sb="21" eb="22">
      <t>ガツ</t>
    </rPh>
    <rPh sb="23" eb="24">
      <t>レイ</t>
    </rPh>
    <rPh sb="24" eb="25">
      <t>ワ</t>
    </rPh>
    <rPh sb="26" eb="27">
      <t>ネン</t>
    </rPh>
    <rPh sb="29" eb="31">
      <t>ガツブン</t>
    </rPh>
    <phoneticPr fontId="2"/>
  </si>
  <si>
    <t>子ども支援金</t>
    <rPh sb="0" eb="1">
      <t>コ</t>
    </rPh>
    <rPh sb="3" eb="6">
      <t>シエンキン</t>
    </rPh>
    <phoneticPr fontId="29"/>
  </si>
  <si>
    <t>年間保険税額
A + B + C + D</t>
    <rPh sb="0" eb="2">
      <t>ネンカン</t>
    </rPh>
    <rPh sb="2" eb="4">
      <t>ホケン</t>
    </rPh>
    <rPh sb="4" eb="6">
      <t>ゼイガク</t>
    </rPh>
    <phoneticPr fontId="2"/>
  </si>
  <si>
    <r>
      <t>　４．　非自発的失業者軽減に該当する場合は、会社都合退職の□にチェックしてください。</t>
    </r>
    <r>
      <rPr>
        <b/>
        <sz val="11"/>
        <color indexed="10"/>
        <rFont val="ＭＳ Ｐゴシック"/>
        <family val="3"/>
        <charset val="128"/>
      </rPr>
      <t>※３</t>
    </r>
    <rPh sb="4" eb="8">
      <t>ヒジハツテキ</t>
    </rPh>
    <rPh sb="8" eb="11">
      <t>シツギョウシャ</t>
    </rPh>
    <rPh sb="11" eb="13">
      <t>ケイゲン</t>
    </rPh>
    <rPh sb="14" eb="16">
      <t>ガイトウ</t>
    </rPh>
    <rPh sb="18" eb="20">
      <t>バアイ</t>
    </rPh>
    <rPh sb="22" eb="26">
      <t>カイシャツゴウ</t>
    </rPh>
    <rPh sb="26" eb="28">
      <t>タイショク</t>
    </rPh>
    <phoneticPr fontId="29"/>
  </si>
  <si>
    <r>
      <t>非自発的失業者</t>
    </r>
    <r>
      <rPr>
        <b/>
        <sz val="11"/>
        <color indexed="10"/>
        <rFont val="ＭＳ Ｐゴシック"/>
        <family val="3"/>
        <charset val="128"/>
      </rPr>
      <t>※３</t>
    </r>
    <rPh sb="0" eb="1">
      <t>ヒ</t>
    </rPh>
    <rPh sb="1" eb="4">
      <t>ジハツテキ</t>
    </rPh>
    <rPh sb="4" eb="7">
      <t>シツギョウシャ</t>
    </rPh>
    <phoneticPr fontId="29"/>
  </si>
  <si>
    <r>
      <t xml:space="preserve">        </t>
    </r>
    <r>
      <rPr>
        <b/>
        <sz val="11"/>
        <color indexed="10"/>
        <rFont val="ＭＳ Ｐゴシック"/>
        <family val="3"/>
        <charset val="128"/>
      </rPr>
      <t>※３</t>
    </r>
    <r>
      <rPr>
        <sz val="11"/>
        <rFont val="ＭＳ Ｐゴシック"/>
        <family val="3"/>
        <charset val="128"/>
      </rPr>
      <t>　非自発的失業者とは、</t>
    </r>
    <r>
      <rPr>
        <sz val="11"/>
        <color indexed="10"/>
        <rFont val="ＭＳ Ｐゴシック"/>
        <family val="3"/>
        <charset val="128"/>
      </rPr>
      <t>離職時に６５歳未満</t>
    </r>
    <r>
      <rPr>
        <sz val="11"/>
        <rFont val="ＭＳ Ｐゴシック"/>
        <family val="3"/>
        <charset val="128"/>
      </rPr>
      <t>で、事業主の都合
               等自己の意に反して離職した者をいいます。</t>
    </r>
    <phoneticPr fontId="2"/>
  </si>
  <si>
    <r>
      <t>子ども支援金分</t>
    </r>
    <r>
      <rPr>
        <sz val="9"/>
        <color indexed="10"/>
        <rFont val="ＭＳ Ｐゴシック"/>
        <family val="3"/>
        <charset val="128"/>
      </rPr>
      <t>（18歳～）</t>
    </r>
    <rPh sb="0" eb="1">
      <t>コ</t>
    </rPh>
    <rPh sb="3" eb="6">
      <t>シエンキン</t>
    </rPh>
    <rPh sb="6" eb="7">
      <t>ブン</t>
    </rPh>
    <phoneticPr fontId="29"/>
  </si>
  <si>
    <t>超　　　　3</t>
    <rPh sb="0" eb="1">
      <t>コ</t>
    </rPh>
    <phoneticPr fontId="29"/>
  </si>
  <si>
    <r>
      <t>　３．　２．に関しては、</t>
    </r>
    <r>
      <rPr>
        <sz val="11"/>
        <color indexed="10"/>
        <rFont val="ＭＳ Ｐゴシック"/>
        <family val="3"/>
        <charset val="128"/>
      </rPr>
      <t>世帯主が加入されない場合でも、年齢区分・給与収入等は必ず入力してください</t>
    </r>
    <r>
      <rPr>
        <u/>
        <sz val="11"/>
        <color indexed="8"/>
        <rFont val="ＭＳ Ｐゴシック"/>
        <family val="3"/>
        <charset val="128"/>
      </rPr>
      <t>（加入者の均等割の計算に必要となります）</t>
    </r>
    <r>
      <rPr>
        <sz val="11"/>
        <color indexed="8"/>
        <rFont val="ＭＳ Ｐゴシック"/>
        <family val="3"/>
        <charset val="128"/>
        <scheme val="minor"/>
      </rPr>
      <t>。</t>
    </r>
    <rPh sb="7" eb="8">
      <t>カン</t>
    </rPh>
    <rPh sb="27" eb="29">
      <t>ネンレイ</t>
    </rPh>
    <rPh sb="29" eb="31">
      <t>クブン</t>
    </rPh>
    <rPh sb="32" eb="34">
      <t>キュウヨ</t>
    </rPh>
    <rPh sb="49" eb="52">
      <t>カニュウシャ</t>
    </rPh>
    <rPh sb="53" eb="56">
      <t>キントウワ</t>
    </rPh>
    <rPh sb="57" eb="59">
      <t>ケイサン</t>
    </rPh>
    <phoneticPr fontId="2"/>
  </si>
  <si>
    <r>
      <t>　　　　</t>
    </r>
    <r>
      <rPr>
        <b/>
        <sz val="11"/>
        <color indexed="10"/>
        <rFont val="ＭＳ Ｐゴシック"/>
        <family val="3"/>
        <charset val="128"/>
      </rPr>
      <t>※１</t>
    </r>
    <r>
      <rPr>
        <sz val="11"/>
        <color indexed="8"/>
        <rFont val="ＭＳ Ｐゴシック"/>
        <family val="3"/>
        <charset val="128"/>
        <scheme val="minor"/>
      </rPr>
      <t>　課税標準所得額とは、令和7年</t>
    </r>
    <r>
      <rPr>
        <sz val="11"/>
        <color indexed="10"/>
        <rFont val="ＭＳ Ｐゴシック"/>
        <family val="3"/>
        <charset val="128"/>
      </rPr>
      <t>の総所得金額等</t>
    </r>
    <r>
      <rPr>
        <sz val="11"/>
        <color indexed="8"/>
        <rFont val="ＭＳ Ｐゴシック"/>
        <family val="3"/>
        <charset val="128"/>
      </rPr>
      <t>から</t>
    </r>
    <r>
      <rPr>
        <sz val="11"/>
        <color indexed="10"/>
        <rFont val="ＭＳ Ｐゴシック"/>
        <family val="3"/>
        <charset val="128"/>
      </rPr>
      <t>基礎控除（43万）</t>
    </r>
    <r>
      <rPr>
        <sz val="11"/>
        <color indexed="8"/>
        <rFont val="ＭＳ Ｐゴシック"/>
        <family val="3"/>
        <charset val="128"/>
      </rPr>
      <t>を差し引いた金額です。</t>
    </r>
    <rPh sb="7" eb="9">
      <t>カゼイ</t>
    </rPh>
    <rPh sb="9" eb="11">
      <t>ヒョウジュン</t>
    </rPh>
    <rPh sb="11" eb="14">
      <t>ショトクガク</t>
    </rPh>
    <rPh sb="17" eb="19">
      <t>レイワ</t>
    </rPh>
    <rPh sb="20" eb="21">
      <t>ネン</t>
    </rPh>
    <rPh sb="22" eb="25">
      <t>ソウショトク</t>
    </rPh>
    <rPh sb="25" eb="28">
      <t>キンガクトウ</t>
    </rPh>
    <rPh sb="30" eb="32">
      <t>キソ</t>
    </rPh>
    <rPh sb="32" eb="34">
      <t>コウジョ</t>
    </rPh>
    <rPh sb="37" eb="38">
      <t>マン</t>
    </rPh>
    <rPh sb="40" eb="41">
      <t>サ</t>
    </rPh>
    <rPh sb="42" eb="43">
      <t>ヒ</t>
    </rPh>
    <rPh sb="45" eb="46">
      <t>カネ</t>
    </rPh>
    <rPh sb="46" eb="47">
      <t>ガク</t>
    </rPh>
    <phoneticPr fontId="2"/>
  </si>
  <si>
    <t>　１．　国民健康保険に加入される予定のかたは、□をチェックし、該当する年齢区分(誕生日を迎えた後の年齢)をリストから選択してください。</t>
    <rPh sb="4" eb="6">
      <t>コクミン</t>
    </rPh>
    <rPh sb="40" eb="43">
      <t>タンジョウビ</t>
    </rPh>
    <rPh sb="44" eb="45">
      <t>ムカ</t>
    </rPh>
    <rPh sb="47" eb="48">
      <t>アト</t>
    </rPh>
    <rPh sb="49" eb="51">
      <t>ネンレイ</t>
    </rPh>
    <rPh sb="58" eb="60">
      <t>センタク</t>
    </rPh>
    <phoneticPr fontId="2"/>
  </si>
  <si>
    <r>
      <t>（</t>
    </r>
    <r>
      <rPr>
        <u/>
        <sz val="11"/>
        <color indexed="8"/>
        <rFont val="ＭＳ Ｐゴシック"/>
        <family val="3"/>
        <charset val="128"/>
      </rPr>
      <t>65歳のかたで</t>
    </r>
    <r>
      <rPr>
        <u/>
        <sz val="9"/>
        <color indexed="8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生年月日が昭和36年1月1日以前のかたは「65歳～74歳」を</t>
    </r>
    <r>
      <rPr>
        <u/>
        <sz val="9"/>
        <color indexed="8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昭和36年1月2日以降のかたは「*65歳～74歳*」を選択してください。</t>
    </r>
    <r>
      <rPr>
        <sz val="11"/>
        <color indexed="8"/>
        <rFont val="ＭＳ Ｐゴシック"/>
        <family val="3"/>
        <charset val="128"/>
        <scheme val="minor"/>
      </rPr>
      <t>）</t>
    </r>
    <rPh sb="9" eb="11">
      <t>セイネン</t>
    </rPh>
    <rPh sb="11" eb="13">
      <t>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</si>
</sst>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##,###&quot;円&quot;"/>
    <numFmt numFmtId="179" formatCode="#&quot;人&quot;"/>
    <numFmt numFmtId="180" formatCode="#,##0_ ;[Red]\-#,##0\ "/>
  </numFmts>
  <fonts count="67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Arial Unicode MS"/>
      <family val="3"/>
      <charset val="128"/>
    </font>
    <font>
      <sz val="12"/>
      <color indexed="8"/>
      <name val="Arial Unicode MS"/>
      <family val="3"/>
      <charset val="128"/>
    </font>
    <font>
      <sz val="10"/>
      <color indexed="8"/>
      <name val="Arial Unicode MS"/>
      <family val="3"/>
      <charset val="128"/>
    </font>
    <font>
      <b/>
      <sz val="14"/>
      <color indexed="8"/>
      <name val="Arial Unicode MS"/>
      <family val="3"/>
      <charset val="128"/>
    </font>
    <font>
      <sz val="20"/>
      <name val="Arial Unicode MS"/>
      <family val="3"/>
      <charset val="128"/>
    </font>
    <font>
      <sz val="18"/>
      <color indexed="8"/>
      <name val="Arial Unicode MS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Arial Unicode MS"/>
      <family val="3"/>
      <charset val="128"/>
    </font>
    <font>
      <b/>
      <sz val="11"/>
      <color indexed="10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name val="Arial Unicode MS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3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10"/>
      <name val="Arial Unicode MS"/>
      <family val="3"/>
      <charset val="128"/>
    </font>
    <font>
      <b/>
      <sz val="16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3"/>
      <color indexed="17"/>
      <name val="ＭＳ Ｐゴシック"/>
      <family val="3"/>
      <charset val="128"/>
    </font>
    <font>
      <sz val="10"/>
      <color indexed="10"/>
      <name val="Wingdings"/>
      <charset val="2"/>
    </font>
    <font>
      <u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1.5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28"/>
      <color indexed="8"/>
      <name val="ＭＳ Ｐゴシック"/>
      <family val="3"/>
      <charset val="128"/>
      <scheme val="minor"/>
    </font>
    <font>
      <sz val="7"/>
      <color indexed="8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8" tint="0.79998168889431442"/>
      <name val="ＭＳ Ｐゴシック"/>
      <family val="3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FF1E3"/>
        <bgColor indexed="64"/>
      </patternFill>
    </fill>
    <fill>
      <patternFill patternType="solid">
        <fgColor rgb="FFD7F0F3"/>
        <bgColor indexed="64"/>
      </patternFill>
    </fill>
    <fill>
      <patternFill patternType="solid">
        <fgColor rgb="FFFDFEF0"/>
        <bgColor indexed="64"/>
      </patternFill>
    </fill>
    <fill>
      <patternFill patternType="solid">
        <fgColor rgb="FFD8F4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F973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8"/>
      </right>
      <top/>
      <bottom style="hair">
        <color indexed="64"/>
      </bottom>
      <diagonal/>
    </border>
    <border>
      <left style="thin">
        <color indexed="64"/>
      </left>
      <right style="medium">
        <color indexed="8"/>
      </right>
      <top style="hair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dashed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rgb="FF00B050"/>
      </left>
      <right/>
      <top style="thick">
        <color rgb="FF00B050"/>
      </top>
      <bottom style="hair">
        <color indexed="64"/>
      </bottom>
      <diagonal/>
    </border>
    <border>
      <left/>
      <right style="thin">
        <color indexed="64"/>
      </right>
      <top style="thick">
        <color rgb="FF00B050"/>
      </top>
      <bottom style="hair">
        <color indexed="64"/>
      </bottom>
      <diagonal/>
    </border>
    <border>
      <left style="thick">
        <color rgb="FF00B050"/>
      </left>
      <right/>
      <top style="hair">
        <color indexed="64"/>
      </top>
      <bottom style="hair">
        <color indexed="64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/>
      <diagonal/>
    </border>
    <border>
      <left style="thin">
        <color indexed="64"/>
      </left>
      <right/>
      <top style="thick">
        <color rgb="FF00B050"/>
      </top>
      <bottom/>
      <diagonal/>
    </border>
    <border>
      <left style="thin">
        <color indexed="64"/>
      </left>
      <right style="thick">
        <color rgb="FF00B050"/>
      </right>
      <top style="thick">
        <color rgb="FF00B05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/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hair">
        <color indexed="64"/>
      </top>
      <bottom style="hair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45"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0" borderId="104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9" fontId="34" fillId="0" borderId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2" borderId="105" applyNumberFormat="0" applyAlignment="0" applyProtection="0">
      <alignment vertical="center"/>
    </xf>
    <xf numFmtId="0" fontId="40" fillId="0" borderId="106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10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38" fontId="34" fillId="0" borderId="0" applyFill="0" applyBorder="0" applyAlignment="0" applyProtection="0">
      <alignment vertical="center"/>
    </xf>
    <xf numFmtId="0" fontId="44" fillId="0" borderId="108" applyNumberFormat="0" applyFill="0" applyAlignment="0" applyProtection="0">
      <alignment vertical="center"/>
    </xf>
    <xf numFmtId="0" fontId="45" fillId="0" borderId="109" applyNumberFormat="0" applyFill="0" applyAlignment="0" applyProtection="0">
      <alignment vertical="center"/>
    </xf>
    <xf numFmtId="0" fontId="46" fillId="0" borderId="11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11" applyNumberFormat="0" applyFill="0" applyAlignment="0" applyProtection="0">
      <alignment vertical="center"/>
    </xf>
    <xf numFmtId="0" fontId="48" fillId="33" borderId="112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107" applyNumberFormat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325">
    <xf numFmtId="0" fontId="0" fillId="0" borderId="0" xfId="0" applyFont="1" applyAlignment="1">
      <alignment vertical="center"/>
    </xf>
    <xf numFmtId="0" fontId="0" fillId="5" borderId="0" xfId="0" applyFont="1" applyFill="1" applyAlignment="1" applyProtection="1">
      <alignment vertical="center"/>
      <protection hidden="1"/>
    </xf>
    <xf numFmtId="38" fontId="6" fillId="0" borderId="0" xfId="35" applyFont="1" applyFill="1" applyBorder="1" applyAlignment="1" applyProtection="1">
      <alignment horizontal="right" vertical="top"/>
      <protection hidden="1"/>
    </xf>
    <xf numFmtId="178" fontId="5" fillId="0" borderId="0" xfId="0" applyNumberFormat="1" applyFont="1" applyFill="1" applyBorder="1" applyAlignment="1" applyProtection="1">
      <alignment horizontal="center" vertical="center"/>
      <protection hidden="1"/>
    </xf>
    <xf numFmtId="178" fontId="8" fillId="0" borderId="0" xfId="0" applyNumberFormat="1" applyFont="1" applyFill="1" applyBorder="1" applyAlignment="1" applyProtection="1">
      <alignment horizontal="right" vertical="center"/>
      <protection hidden="1"/>
    </xf>
    <xf numFmtId="0" fontId="0" fillId="5" borderId="0" xfId="0" applyFont="1" applyFill="1" applyBorder="1" applyAlignment="1" applyProtection="1">
      <alignment horizontal="center" vertical="center"/>
      <protection hidden="1"/>
    </xf>
    <xf numFmtId="38" fontId="26" fillId="0" borderId="0" xfId="35" applyFont="1" applyFill="1" applyBorder="1" applyAlignment="1" applyProtection="1">
      <alignment horizontal="right" vertical="top"/>
      <protection hidden="1"/>
    </xf>
    <xf numFmtId="0" fontId="52" fillId="35" borderId="1" xfId="0" applyFont="1" applyFill="1" applyBorder="1" applyAlignment="1" applyProtection="1">
      <alignment horizontal="center" vertical="center"/>
      <protection hidden="1"/>
    </xf>
    <xf numFmtId="0" fontId="52" fillId="36" borderId="2" xfId="0" applyFont="1" applyFill="1" applyBorder="1" applyAlignment="1" applyProtection="1">
      <alignment horizontal="center" vertical="center"/>
      <protection hidden="1"/>
    </xf>
    <xf numFmtId="38" fontId="4" fillId="37" borderId="3" xfId="35" applyFont="1" applyFill="1" applyBorder="1" applyAlignment="1" applyProtection="1">
      <alignment horizontal="right" vertical="center"/>
      <protection hidden="1"/>
    </xf>
    <xf numFmtId="0" fontId="52" fillId="35" borderId="4" xfId="0" applyFont="1" applyFill="1" applyBorder="1" applyAlignment="1" applyProtection="1">
      <alignment horizontal="center" vertical="center"/>
      <protection hidden="1"/>
    </xf>
    <xf numFmtId="0" fontId="52" fillId="36" borderId="5" xfId="0" applyFont="1" applyFill="1" applyBorder="1" applyAlignment="1" applyProtection="1">
      <alignment horizontal="center" vertical="center"/>
      <protection hidden="1"/>
    </xf>
    <xf numFmtId="0" fontId="52" fillId="38" borderId="4" xfId="0" applyFont="1" applyFill="1" applyBorder="1" applyAlignment="1" applyProtection="1">
      <alignment horizontal="center" vertical="center"/>
      <protection hidden="1"/>
    </xf>
    <xf numFmtId="0" fontId="52" fillId="38" borderId="1" xfId="0" applyFont="1" applyFill="1" applyBorder="1" applyAlignment="1" applyProtection="1">
      <alignment horizontal="center" vertical="center"/>
      <protection hidden="1"/>
    </xf>
    <xf numFmtId="38" fontId="26" fillId="3" borderId="0" xfId="35" applyFont="1" applyFill="1" applyBorder="1" applyAlignment="1" applyProtection="1">
      <alignment horizontal="right" vertical="top"/>
      <protection hidden="1"/>
    </xf>
    <xf numFmtId="38" fontId="26" fillId="3" borderId="6" xfId="35" applyFont="1" applyFill="1" applyBorder="1" applyAlignment="1" applyProtection="1">
      <alignment horizontal="right" vertical="top"/>
      <protection hidden="1"/>
    </xf>
    <xf numFmtId="0" fontId="53" fillId="37" borderId="7" xfId="0" applyFont="1" applyFill="1" applyBorder="1" applyAlignment="1" applyProtection="1">
      <alignment horizontal="center" vertical="center" wrapText="1"/>
      <protection hidden="1"/>
    </xf>
    <xf numFmtId="0" fontId="54" fillId="5" borderId="0" xfId="0" applyFont="1" applyFill="1" applyAlignment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0" fillId="5" borderId="0" xfId="0" applyFont="1" applyFill="1" applyAlignment="1" applyProtection="1">
      <protection hidden="1"/>
    </xf>
    <xf numFmtId="0" fontId="53" fillId="5" borderId="0" xfId="0" applyFont="1" applyFill="1" applyAlignment="1" applyProtection="1">
      <alignment horizontal="righ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5" borderId="0" xfId="0" applyFont="1" applyFill="1" applyBorder="1" applyAlignment="1" applyProtection="1">
      <alignment vertical="center"/>
      <protection hidden="1"/>
    </xf>
    <xf numFmtId="0" fontId="53" fillId="37" borderId="8" xfId="0" applyFont="1" applyFill="1" applyBorder="1" applyAlignment="1" applyProtection="1">
      <alignment horizontal="center" vertical="center" wrapText="1"/>
      <protection hidden="1"/>
    </xf>
    <xf numFmtId="38" fontId="0" fillId="5" borderId="0" xfId="0" applyNumberFormat="1" applyFont="1" applyFill="1" applyAlignment="1" applyProtection="1">
      <alignment vertical="center"/>
      <protection hidden="1"/>
    </xf>
    <xf numFmtId="0" fontId="0" fillId="5" borderId="0" xfId="0" applyFont="1" applyFill="1" applyAlignment="1" applyProtection="1">
      <alignment vertical="center" wrapText="1"/>
      <protection hidden="1"/>
    </xf>
    <xf numFmtId="0" fontId="39" fillId="5" borderId="0" xfId="29" applyFont="1" applyFill="1" applyAlignment="1" applyProtection="1">
      <alignment vertical="center"/>
      <protection hidden="1"/>
    </xf>
    <xf numFmtId="0" fontId="0" fillId="5" borderId="9" xfId="0" applyFont="1" applyFill="1" applyBorder="1" applyAlignment="1" applyProtection="1">
      <alignment vertical="center"/>
      <protection hidden="1"/>
    </xf>
    <xf numFmtId="0" fontId="0" fillId="0" borderId="10" xfId="0" applyFont="1" applyBorder="1" applyAlignment="1" applyProtection="1">
      <alignment vertical="center"/>
      <protection hidden="1"/>
    </xf>
    <xf numFmtId="0" fontId="0" fillId="0" borderId="11" xfId="0" applyFont="1" applyBorder="1" applyAlignment="1" applyProtection="1">
      <alignment vertical="center"/>
      <protection hidden="1"/>
    </xf>
    <xf numFmtId="0" fontId="0" fillId="0" borderId="12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13" xfId="0" applyFont="1" applyFill="1" applyBorder="1" applyAlignment="1" applyProtection="1">
      <alignment horizontal="right" vertical="center"/>
      <protection hidden="1"/>
    </xf>
    <xf numFmtId="0" fontId="0" fillId="0" borderId="14" xfId="0" applyFont="1" applyFill="1" applyBorder="1" applyAlignment="1" applyProtection="1">
      <alignment vertical="center"/>
      <protection hidden="1"/>
    </xf>
    <xf numFmtId="0" fontId="0" fillId="0" borderId="15" xfId="0" applyFont="1" applyFill="1" applyBorder="1" applyAlignment="1" applyProtection="1">
      <alignment vertical="center"/>
      <protection hidden="1"/>
    </xf>
    <xf numFmtId="0" fontId="0" fillId="0" borderId="11" xfId="0" applyFont="1" applyFill="1" applyBorder="1" applyAlignment="1" applyProtection="1">
      <alignment vertical="center"/>
      <protection hidden="1"/>
    </xf>
    <xf numFmtId="0" fontId="0" fillId="0" borderId="12" xfId="0" applyFont="1" applyFill="1" applyBorder="1" applyAlignment="1" applyProtection="1">
      <alignment vertical="center"/>
      <protection hidden="1"/>
    </xf>
    <xf numFmtId="0" fontId="0" fillId="0" borderId="4" xfId="0" applyFont="1" applyBorder="1" applyAlignment="1" applyProtection="1">
      <alignment vertical="center"/>
      <protection hidden="1"/>
    </xf>
    <xf numFmtId="0" fontId="0" fillId="0" borderId="16" xfId="0" applyFont="1" applyBorder="1" applyAlignment="1" applyProtection="1">
      <alignment vertical="center"/>
      <protection hidden="1"/>
    </xf>
    <xf numFmtId="177" fontId="0" fillId="0" borderId="16" xfId="0" applyNumberFormat="1" applyFont="1" applyBorder="1" applyAlignment="1" applyProtection="1">
      <alignment vertical="center"/>
      <protection hidden="1"/>
    </xf>
    <xf numFmtId="0" fontId="0" fillId="0" borderId="1" xfId="0" applyFont="1" applyBorder="1" applyAlignment="1" applyProtection="1">
      <alignment vertical="center"/>
      <protection hidden="1"/>
    </xf>
    <xf numFmtId="0" fontId="0" fillId="3" borderId="0" xfId="0" applyFont="1" applyFill="1" applyBorder="1" applyAlignment="1" applyProtection="1">
      <alignment vertical="center"/>
      <protection hidden="1"/>
    </xf>
    <xf numFmtId="0" fontId="0" fillId="0" borderId="4" xfId="0" applyFont="1" applyFill="1" applyBorder="1" applyAlignment="1" applyProtection="1">
      <alignment vertical="center"/>
      <protection hidden="1"/>
    </xf>
    <xf numFmtId="0" fontId="0" fillId="0" borderId="16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0" borderId="17" xfId="0" applyFont="1" applyFill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horizontal="center" vertical="center"/>
      <protection hidden="1"/>
    </xf>
    <xf numFmtId="0" fontId="0" fillId="0" borderId="16" xfId="0" applyFont="1" applyFill="1" applyBorder="1" applyAlignment="1" applyProtection="1">
      <alignment horizontal="right" vertical="center"/>
      <protection hidden="1"/>
    </xf>
    <xf numFmtId="176" fontId="0" fillId="0" borderId="16" xfId="0" applyNumberFormat="1" applyFont="1" applyBorder="1" applyAlignment="1" applyProtection="1">
      <alignment vertical="center"/>
      <protection hidden="1"/>
    </xf>
    <xf numFmtId="0" fontId="0" fillId="0" borderId="18" xfId="0" applyFont="1" applyBorder="1" applyAlignment="1" applyProtection="1">
      <alignment vertical="center"/>
      <protection hidden="1"/>
    </xf>
    <xf numFmtId="0" fontId="0" fillId="0" borderId="17" xfId="0" applyFont="1" applyBorder="1" applyAlignment="1" applyProtection="1">
      <alignment vertical="center"/>
      <protection hidden="1"/>
    </xf>
    <xf numFmtId="0" fontId="0" fillId="0" borderId="19" xfId="0" applyFont="1" applyFill="1" applyBorder="1" applyAlignment="1" applyProtection="1">
      <alignment vertical="center"/>
      <protection hidden="1"/>
    </xf>
    <xf numFmtId="0" fontId="0" fillId="0" borderId="20" xfId="0" applyFont="1" applyFill="1" applyBorder="1" applyAlignment="1" applyProtection="1">
      <alignment vertical="center"/>
      <protection hidden="1"/>
    </xf>
    <xf numFmtId="0" fontId="0" fillId="0" borderId="21" xfId="0" applyFont="1" applyFill="1" applyBorder="1" applyAlignment="1" applyProtection="1">
      <alignment vertical="center"/>
      <protection hidden="1"/>
    </xf>
    <xf numFmtId="0" fontId="0" fillId="0" borderId="22" xfId="0" applyFont="1" applyFill="1" applyBorder="1" applyAlignment="1" applyProtection="1">
      <alignment vertical="center"/>
      <protection hidden="1"/>
    </xf>
    <xf numFmtId="0" fontId="0" fillId="0" borderId="23" xfId="0" applyFont="1" applyBorder="1" applyAlignment="1" applyProtection="1">
      <alignment vertical="center"/>
      <protection hidden="1"/>
    </xf>
    <xf numFmtId="0" fontId="0" fillId="0" borderId="24" xfId="0" applyFont="1" applyBorder="1" applyAlignment="1" applyProtection="1">
      <alignment vertical="center"/>
      <protection hidden="1"/>
    </xf>
    <xf numFmtId="0" fontId="0" fillId="0" borderId="13" xfId="0" applyFont="1" applyFill="1" applyBorder="1" applyAlignment="1" applyProtection="1">
      <alignment vertical="center"/>
      <protection hidden="1"/>
    </xf>
    <xf numFmtId="38" fontId="0" fillId="0" borderId="25" xfId="0" applyNumberFormat="1" applyFont="1" applyFill="1" applyBorder="1" applyAlignment="1" applyProtection="1">
      <alignment vertical="center"/>
      <protection hidden="1"/>
    </xf>
    <xf numFmtId="0" fontId="0" fillId="0" borderId="26" xfId="0" applyFont="1" applyFill="1" applyBorder="1" applyAlignment="1" applyProtection="1">
      <alignment vertical="center"/>
      <protection hidden="1"/>
    </xf>
    <xf numFmtId="0" fontId="0" fillId="0" borderId="27" xfId="0" applyFont="1" applyFill="1" applyBorder="1" applyAlignment="1" applyProtection="1">
      <alignment vertical="center"/>
      <protection hidden="1"/>
    </xf>
    <xf numFmtId="0" fontId="0" fillId="0" borderId="28" xfId="0" applyFont="1" applyFill="1" applyBorder="1" applyAlignment="1" applyProtection="1">
      <alignment vertical="center"/>
      <protection hidden="1"/>
    </xf>
    <xf numFmtId="0" fontId="0" fillId="0" borderId="26" xfId="0" applyFont="1" applyBorder="1" applyAlignment="1" applyProtection="1">
      <alignment vertical="center"/>
      <protection hidden="1"/>
    </xf>
    <xf numFmtId="0" fontId="43" fillId="0" borderId="27" xfId="0" applyFont="1" applyBorder="1" applyAlignment="1" applyProtection="1">
      <alignment vertical="center"/>
      <protection hidden="1"/>
    </xf>
    <xf numFmtId="0" fontId="0" fillId="39" borderId="9" xfId="0" applyFont="1" applyFill="1" applyBorder="1" applyAlignment="1" applyProtection="1">
      <alignment vertical="center"/>
      <protection hidden="1"/>
    </xf>
    <xf numFmtId="0" fontId="0" fillId="0" borderId="27" xfId="0" applyFont="1" applyBorder="1" applyAlignment="1" applyProtection="1">
      <alignment vertical="center"/>
      <protection hidden="1"/>
    </xf>
    <xf numFmtId="0" fontId="0" fillId="0" borderId="28" xfId="0" applyFont="1" applyBorder="1" applyAlignment="1" applyProtection="1">
      <alignment vertical="center"/>
      <protection hidden="1"/>
    </xf>
    <xf numFmtId="0" fontId="0" fillId="0" borderId="29" xfId="0" applyFont="1" applyFill="1" applyBorder="1" applyAlignment="1" applyProtection="1">
      <alignment vertical="center"/>
      <protection hidden="1"/>
    </xf>
    <xf numFmtId="0" fontId="0" fillId="0" borderId="30" xfId="0" applyFont="1" applyFill="1" applyBorder="1" applyAlignment="1" applyProtection="1">
      <alignment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locked="0" hidden="1"/>
    </xf>
    <xf numFmtId="0" fontId="55" fillId="5" borderId="0" xfId="0" applyFont="1" applyFill="1" applyAlignment="1" applyProtection="1">
      <alignment vertical="center"/>
      <protection hidden="1"/>
    </xf>
    <xf numFmtId="0" fontId="56" fillId="5" borderId="3" xfId="0" applyFont="1" applyFill="1" applyBorder="1" applyAlignment="1" applyProtection="1">
      <alignment vertical="center"/>
      <protection locked="0" hidden="1"/>
    </xf>
    <xf numFmtId="0" fontId="56" fillId="0" borderId="10" xfId="0" applyFont="1" applyFill="1" applyBorder="1" applyAlignment="1" applyProtection="1">
      <alignment vertical="center"/>
      <protection locked="0" hidden="1"/>
    </xf>
    <xf numFmtId="0" fontId="56" fillId="0" borderId="18" xfId="0" applyFont="1" applyFill="1" applyBorder="1" applyAlignment="1" applyProtection="1">
      <alignment vertical="center"/>
      <protection locked="0" hidden="1"/>
    </xf>
    <xf numFmtId="0" fontId="56" fillId="0" borderId="26" xfId="0" applyFont="1" applyFill="1" applyBorder="1" applyAlignment="1" applyProtection="1">
      <alignment vertical="center"/>
      <protection locked="0" hidden="1"/>
    </xf>
    <xf numFmtId="0" fontId="0" fillId="0" borderId="11" xfId="0" applyFont="1" applyFill="1" applyBorder="1" applyAlignment="1" applyProtection="1">
      <alignment vertical="center"/>
      <protection locked="0" hidden="1"/>
    </xf>
    <xf numFmtId="0" fontId="0" fillId="0" borderId="0" xfId="0" applyFont="1" applyFill="1" applyBorder="1" applyAlignment="1" applyProtection="1">
      <alignment vertical="center"/>
      <protection locked="0" hidden="1"/>
    </xf>
    <xf numFmtId="0" fontId="0" fillId="0" borderId="27" xfId="0" applyFont="1" applyFill="1" applyBorder="1" applyAlignment="1" applyProtection="1">
      <alignment vertical="center"/>
      <protection locked="0" hidden="1"/>
    </xf>
    <xf numFmtId="0" fontId="57" fillId="0" borderId="0" xfId="0" applyFont="1" applyFill="1" applyBorder="1" applyAlignment="1" applyProtection="1">
      <alignment vertical="center"/>
      <protection hidden="1"/>
    </xf>
    <xf numFmtId="0" fontId="0" fillId="0" borderId="31" xfId="0" applyFont="1" applyFill="1" applyBorder="1" applyAlignment="1" applyProtection="1">
      <alignment vertical="center"/>
      <protection hidden="1"/>
    </xf>
    <xf numFmtId="176" fontId="0" fillId="40" borderId="0" xfId="0" applyNumberFormat="1" applyFont="1" applyFill="1" applyBorder="1" applyAlignment="1" applyProtection="1">
      <alignment vertical="center"/>
      <protection hidden="1"/>
    </xf>
    <xf numFmtId="9" fontId="0" fillId="40" borderId="0" xfId="0" applyNumberFormat="1" applyFont="1" applyFill="1" applyBorder="1" applyAlignment="1" applyProtection="1">
      <alignment vertical="center"/>
      <protection hidden="1"/>
    </xf>
    <xf numFmtId="0" fontId="0" fillId="40" borderId="0" xfId="0" applyFont="1" applyFill="1" applyBorder="1" applyAlignment="1" applyProtection="1">
      <alignment vertical="center"/>
      <protection hidden="1"/>
    </xf>
    <xf numFmtId="0" fontId="58" fillId="5" borderId="0" xfId="0" applyFont="1" applyFill="1" applyAlignment="1" applyProtection="1">
      <alignment vertical="top" wrapText="1"/>
      <protection hidden="1"/>
    </xf>
    <xf numFmtId="0" fontId="0" fillId="5" borderId="0" xfId="0" applyFont="1" applyFill="1" applyAlignment="1" applyProtection="1">
      <alignment horizontal="left" vertical="center" indent="1"/>
      <protection hidden="1"/>
    </xf>
    <xf numFmtId="0" fontId="0" fillId="41" borderId="32" xfId="0" applyFont="1" applyFill="1" applyBorder="1" applyAlignment="1" applyProtection="1">
      <alignment vertical="center"/>
      <protection hidden="1"/>
    </xf>
    <xf numFmtId="0" fontId="0" fillId="41" borderId="1" xfId="0" applyFont="1" applyFill="1" applyBorder="1" applyAlignment="1" applyProtection="1">
      <alignment vertical="center"/>
      <protection hidden="1"/>
    </xf>
    <xf numFmtId="0" fontId="0" fillId="41" borderId="33" xfId="0" applyFont="1" applyFill="1" applyBorder="1" applyAlignment="1" applyProtection="1">
      <alignment vertical="center"/>
      <protection hidden="1"/>
    </xf>
    <xf numFmtId="0" fontId="0" fillId="0" borderId="9" xfId="0" applyFont="1" applyFill="1" applyBorder="1" applyAlignment="1" applyProtection="1">
      <alignment horizontal="center" vertical="center"/>
      <protection hidden="1"/>
    </xf>
    <xf numFmtId="0" fontId="0" fillId="0" borderId="9" xfId="0" applyFont="1" applyFill="1" applyBorder="1" applyAlignment="1" applyProtection="1">
      <alignment vertical="center"/>
      <protection hidden="1"/>
    </xf>
    <xf numFmtId="0" fontId="0" fillId="41" borderId="16" xfId="0" applyFont="1" applyFill="1" applyBorder="1" applyAlignment="1" applyProtection="1">
      <alignment vertical="center"/>
      <protection hidden="1"/>
    </xf>
    <xf numFmtId="0" fontId="0" fillId="41" borderId="34" xfId="0" applyFont="1" applyFill="1" applyBorder="1" applyAlignment="1" applyProtection="1">
      <alignment vertical="center"/>
      <protection hidden="1"/>
    </xf>
    <xf numFmtId="0" fontId="0" fillId="41" borderId="15" xfId="0" applyFont="1" applyFill="1" applyBorder="1" applyAlignment="1" applyProtection="1">
      <alignment vertical="center"/>
      <protection hidden="1"/>
    </xf>
    <xf numFmtId="10" fontId="34" fillId="41" borderId="32" xfId="28" applyNumberFormat="1" applyFill="1" applyBorder="1" applyAlignment="1" applyProtection="1">
      <alignment vertical="center"/>
      <protection hidden="1"/>
    </xf>
    <xf numFmtId="0" fontId="0" fillId="41" borderId="35" xfId="0" applyFont="1" applyFill="1" applyBorder="1" applyAlignment="1" applyProtection="1">
      <alignment vertical="center"/>
      <protection hidden="1"/>
    </xf>
    <xf numFmtId="10" fontId="34" fillId="41" borderId="1" xfId="28" applyNumberFormat="1" applyFill="1" applyBorder="1" applyAlignment="1" applyProtection="1">
      <alignment vertical="center"/>
      <protection hidden="1"/>
    </xf>
    <xf numFmtId="0" fontId="0" fillId="41" borderId="36" xfId="0" applyFont="1" applyFill="1" applyBorder="1" applyAlignment="1" applyProtection="1">
      <alignment vertical="center"/>
      <protection hidden="1"/>
    </xf>
    <xf numFmtId="0" fontId="34" fillId="41" borderId="30" xfId="35" applyNumberFormat="1" applyFill="1" applyBorder="1" applyAlignment="1" applyProtection="1">
      <alignment vertical="center"/>
      <protection hidden="1"/>
    </xf>
    <xf numFmtId="10" fontId="34" fillId="41" borderId="33" xfId="28" applyNumberFormat="1" applyFill="1" applyBorder="1" applyAlignment="1" applyProtection="1">
      <alignment vertical="center"/>
      <protection hidden="1"/>
    </xf>
    <xf numFmtId="38" fontId="20" fillId="42" borderId="37" xfId="35" applyFont="1" applyFill="1" applyBorder="1" applyAlignment="1" applyProtection="1">
      <alignment horizontal="right" vertical="center"/>
      <protection hidden="1"/>
    </xf>
    <xf numFmtId="38" fontId="20" fillId="42" borderId="38" xfId="35" applyFont="1" applyFill="1" applyBorder="1" applyAlignment="1" applyProtection="1">
      <alignment horizontal="right" vertical="center"/>
      <protection hidden="1"/>
    </xf>
    <xf numFmtId="0" fontId="0" fillId="41" borderId="39" xfId="0" applyFont="1" applyFill="1" applyBorder="1" applyAlignment="1" applyProtection="1">
      <alignment vertical="center"/>
      <protection hidden="1"/>
    </xf>
    <xf numFmtId="38" fontId="20" fillId="42" borderId="40" xfId="35" applyFont="1" applyFill="1" applyBorder="1" applyAlignment="1" applyProtection="1">
      <alignment horizontal="right" vertical="center"/>
      <protection hidden="1"/>
    </xf>
    <xf numFmtId="0" fontId="0" fillId="0" borderId="16" xfId="0" applyFont="1" applyFill="1" applyBorder="1" applyAlignment="1" applyProtection="1">
      <alignment horizontal="right" vertical="center"/>
      <protection hidden="1"/>
    </xf>
    <xf numFmtId="177" fontId="0" fillId="0" borderId="0" xfId="0" applyNumberFormat="1" applyFont="1" applyBorder="1" applyAlignment="1" applyProtection="1">
      <alignment vertical="center"/>
      <protection hidden="1"/>
    </xf>
    <xf numFmtId="176" fontId="0" fillId="0" borderId="0" xfId="0" applyNumberFormat="1" applyFont="1" applyBorder="1" applyAlignment="1" applyProtection="1">
      <alignment vertical="center"/>
      <protection hidden="1"/>
    </xf>
    <xf numFmtId="0" fontId="0" fillId="43" borderId="11" xfId="0" applyFont="1" applyFill="1" applyBorder="1" applyAlignment="1" applyProtection="1">
      <alignment vertical="center"/>
      <protection hidden="1"/>
    </xf>
    <xf numFmtId="0" fontId="0" fillId="43" borderId="0" xfId="0" applyFont="1" applyFill="1" applyBorder="1" applyAlignment="1" applyProtection="1">
      <alignment vertical="center"/>
      <protection hidden="1"/>
    </xf>
    <xf numFmtId="0" fontId="0" fillId="0" borderId="21" xfId="0" applyFont="1" applyBorder="1" applyAlignment="1" applyProtection="1">
      <alignment vertical="center"/>
      <protection hidden="1"/>
    </xf>
    <xf numFmtId="0" fontId="0" fillId="44" borderId="0" xfId="0" applyFont="1" applyFill="1" applyBorder="1" applyAlignment="1" applyProtection="1">
      <alignment vertical="center"/>
      <protection hidden="1"/>
    </xf>
    <xf numFmtId="0" fontId="0" fillId="44" borderId="11" xfId="0" applyFont="1" applyFill="1" applyBorder="1" applyAlignment="1" applyProtection="1">
      <alignment vertical="center"/>
      <protection hidden="1"/>
    </xf>
    <xf numFmtId="0" fontId="0" fillId="28" borderId="9" xfId="0" applyFont="1" applyFill="1" applyBorder="1" applyAlignment="1" applyProtection="1">
      <alignment vertical="center"/>
      <protection hidden="1"/>
    </xf>
    <xf numFmtId="0" fontId="0" fillId="0" borderId="41" xfId="0" applyFont="1" applyBorder="1" applyAlignment="1" applyProtection="1">
      <alignment vertical="center"/>
      <protection hidden="1"/>
    </xf>
    <xf numFmtId="0" fontId="0" fillId="0" borderId="42" xfId="0" applyFont="1" applyBorder="1" applyAlignment="1" applyProtection="1">
      <alignment vertical="center"/>
      <protection hidden="1"/>
    </xf>
    <xf numFmtId="0" fontId="0" fillId="0" borderId="43" xfId="0" applyFont="1" applyBorder="1" applyAlignment="1" applyProtection="1">
      <alignment vertical="center"/>
      <protection hidden="1"/>
    </xf>
    <xf numFmtId="0" fontId="0" fillId="0" borderId="30" xfId="0" applyFont="1" applyFill="1" applyBorder="1" applyAlignment="1" applyProtection="1">
      <alignment horizontal="right" vertical="center"/>
      <protection hidden="1"/>
    </xf>
    <xf numFmtId="0" fontId="0" fillId="0" borderId="44" xfId="0" applyFont="1" applyFill="1" applyBorder="1" applyAlignment="1" applyProtection="1">
      <alignment vertical="center"/>
      <protection hidden="1"/>
    </xf>
    <xf numFmtId="0" fontId="0" fillId="0" borderId="45" xfId="0" applyFont="1" applyFill="1" applyBorder="1" applyAlignment="1" applyProtection="1">
      <alignment vertical="center"/>
      <protection hidden="1"/>
    </xf>
    <xf numFmtId="0" fontId="0" fillId="0" borderId="26" xfId="0" applyFont="1" applyFill="1" applyBorder="1" applyAlignment="1" applyProtection="1">
      <alignment horizontal="right" vertical="center"/>
      <protection hidden="1"/>
    </xf>
    <xf numFmtId="38" fontId="4" fillId="37" borderId="46" xfId="35" applyFont="1" applyFill="1" applyBorder="1" applyAlignment="1" applyProtection="1">
      <alignment horizontal="right" vertical="center"/>
      <protection hidden="1"/>
    </xf>
    <xf numFmtId="0" fontId="59" fillId="5" borderId="113" xfId="0" applyFont="1" applyFill="1" applyBorder="1" applyAlignment="1" applyProtection="1">
      <alignment horizontal="center" vertical="center"/>
      <protection hidden="1"/>
    </xf>
    <xf numFmtId="0" fontId="59" fillId="5" borderId="114" xfId="0" applyFont="1" applyFill="1" applyBorder="1" applyAlignment="1" applyProtection="1">
      <alignment vertical="center"/>
      <protection locked="0" hidden="1"/>
    </xf>
    <xf numFmtId="0" fontId="4" fillId="45" borderId="114" xfId="0" applyFont="1" applyFill="1" applyBorder="1" applyAlignment="1" applyProtection="1">
      <alignment horizontal="center" vertical="center"/>
      <protection locked="0" hidden="1"/>
    </xf>
    <xf numFmtId="0" fontId="56" fillId="5" borderId="115" xfId="0" applyFont="1" applyFill="1" applyBorder="1" applyAlignment="1" applyProtection="1">
      <alignment horizontal="center" vertical="center"/>
      <protection hidden="1"/>
    </xf>
    <xf numFmtId="0" fontId="56" fillId="5" borderId="116" xfId="0" applyFont="1" applyFill="1" applyBorder="1" applyAlignment="1" applyProtection="1">
      <alignment horizontal="center" vertical="center"/>
      <protection hidden="1"/>
    </xf>
    <xf numFmtId="0" fontId="56" fillId="5" borderId="117" xfId="0" applyFont="1" applyFill="1" applyBorder="1" applyAlignment="1" applyProtection="1">
      <alignment vertical="center"/>
      <protection locked="0" hidden="1"/>
    </xf>
    <xf numFmtId="0" fontId="4" fillId="0" borderId="118" xfId="0" applyFont="1" applyFill="1" applyBorder="1" applyAlignment="1" applyProtection="1">
      <alignment horizontal="center" vertical="center"/>
      <protection locked="0" hidden="1"/>
    </xf>
    <xf numFmtId="176" fontId="0" fillId="40" borderId="16" xfId="0" applyNumberFormat="1" applyFont="1" applyFill="1" applyBorder="1" applyAlignment="1" applyProtection="1">
      <alignment vertical="center"/>
      <protection hidden="1"/>
    </xf>
    <xf numFmtId="180" fontId="34" fillId="40" borderId="16" xfId="35" applyNumberFormat="1" applyFill="1" applyBorder="1" applyAlignment="1" applyProtection="1">
      <alignment vertical="center"/>
      <protection hidden="1"/>
    </xf>
    <xf numFmtId="176" fontId="0" fillId="0" borderId="47" xfId="0" applyNumberFormat="1" applyFont="1" applyFill="1" applyBorder="1" applyAlignment="1" applyProtection="1">
      <alignment vertical="center"/>
      <protection hidden="1"/>
    </xf>
    <xf numFmtId="176" fontId="0" fillId="0" borderId="21" xfId="0" applyNumberFormat="1" applyFont="1" applyFill="1" applyBorder="1" applyAlignment="1" applyProtection="1">
      <alignment vertical="center"/>
      <protection hidden="1"/>
    </xf>
    <xf numFmtId="176" fontId="0" fillId="0" borderId="48" xfId="0" applyNumberFormat="1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38" fontId="4" fillId="35" borderId="49" xfId="35" applyFont="1" applyFill="1" applyBorder="1" applyAlignment="1" applyProtection="1">
      <alignment horizontal="right" vertical="center"/>
      <protection hidden="1"/>
    </xf>
    <xf numFmtId="38" fontId="4" fillId="35" borderId="50" xfId="35" applyFont="1" applyFill="1" applyBorder="1" applyAlignment="1" applyProtection="1">
      <alignment horizontal="right" vertical="center"/>
      <protection hidden="1"/>
    </xf>
    <xf numFmtId="38" fontId="4" fillId="38" borderId="49" xfId="35" applyFont="1" applyFill="1" applyBorder="1" applyAlignment="1" applyProtection="1">
      <alignment horizontal="right" vertical="center"/>
      <protection hidden="1"/>
    </xf>
    <xf numFmtId="38" fontId="4" fillId="38" borderId="50" xfId="35" applyFont="1" applyFill="1" applyBorder="1" applyAlignment="1" applyProtection="1">
      <alignment horizontal="right" vertical="center"/>
      <protection hidden="1"/>
    </xf>
    <xf numFmtId="38" fontId="4" fillId="36" borderId="51" xfId="35" applyFont="1" applyFill="1" applyBorder="1" applyAlignment="1" applyProtection="1">
      <alignment horizontal="right" vertical="center"/>
      <protection hidden="1"/>
    </xf>
    <xf numFmtId="38" fontId="4" fillId="36" borderId="52" xfId="35" applyFont="1" applyFill="1" applyBorder="1" applyAlignment="1" applyProtection="1">
      <alignment horizontal="right" vertical="center"/>
      <protection hidden="1"/>
    </xf>
    <xf numFmtId="38" fontId="4" fillId="38" borderId="40" xfId="35" applyFont="1" applyFill="1" applyBorder="1" applyAlignment="1" applyProtection="1">
      <alignment horizontal="right" vertical="center"/>
      <protection hidden="1"/>
    </xf>
    <xf numFmtId="38" fontId="4" fillId="36" borderId="46" xfId="35" applyFont="1" applyFill="1" applyBorder="1" applyAlignment="1" applyProtection="1">
      <alignment horizontal="right" vertical="center"/>
      <protection hidden="1"/>
    </xf>
    <xf numFmtId="38" fontId="4" fillId="36" borderId="53" xfId="35" applyFont="1" applyFill="1" applyBorder="1" applyAlignment="1" applyProtection="1">
      <alignment horizontal="right" vertical="center"/>
      <protection hidden="1"/>
    </xf>
    <xf numFmtId="0" fontId="0" fillId="0" borderId="33" xfId="0" applyFont="1" applyFill="1" applyBorder="1" applyAlignment="1" applyProtection="1">
      <alignment horizontal="center" vertical="center"/>
      <protection hidden="1"/>
    </xf>
    <xf numFmtId="0" fontId="0" fillId="0" borderId="0" xfId="0">
      <alignment vertical="center"/>
    </xf>
    <xf numFmtId="0" fontId="32" fillId="5" borderId="114" xfId="0" applyFont="1" applyFill="1" applyBorder="1" applyAlignment="1" applyProtection="1">
      <alignment vertical="center"/>
      <protection locked="0" hidden="1"/>
    </xf>
    <xf numFmtId="0" fontId="0" fillId="0" borderId="0" xfId="0" applyFill="1">
      <alignment vertical="center"/>
    </xf>
    <xf numFmtId="0" fontId="0" fillId="5" borderId="0" xfId="0" applyFont="1" applyFill="1" applyAlignment="1" applyProtection="1">
      <alignment horizontal="center" vertical="top" wrapText="1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38" fontId="43" fillId="0" borderId="0" xfId="0" applyNumberFormat="1" applyFont="1" applyFill="1" applyBorder="1" applyAlignment="1" applyProtection="1">
      <alignment horizontal="center" vertical="center"/>
      <protection hidden="1"/>
    </xf>
    <xf numFmtId="0" fontId="43" fillId="0" borderId="0" xfId="0" applyFont="1" applyFill="1" applyBorder="1" applyAlignment="1" applyProtection="1">
      <alignment horizontal="center" vertical="center"/>
      <protection hidden="1"/>
    </xf>
    <xf numFmtId="0" fontId="0" fillId="43" borderId="54" xfId="0" applyFont="1" applyFill="1" applyBorder="1" applyAlignment="1" applyProtection="1">
      <alignment horizontal="center" vertical="center"/>
      <protection hidden="1"/>
    </xf>
    <xf numFmtId="10" fontId="0" fillId="41" borderId="39" xfId="0" applyNumberFormat="1" applyFont="1" applyFill="1" applyBorder="1" applyAlignment="1" applyProtection="1">
      <alignment vertical="center"/>
      <protection hidden="1"/>
    </xf>
    <xf numFmtId="0" fontId="0" fillId="41" borderId="55" xfId="0" applyNumberFormat="1" applyFont="1" applyFill="1" applyBorder="1" applyAlignment="1" applyProtection="1">
      <alignment vertical="center"/>
      <protection hidden="1"/>
    </xf>
    <xf numFmtId="0" fontId="0" fillId="0" borderId="18" xfId="0" applyFont="1" applyFill="1" applyBorder="1" applyAlignment="1" applyProtection="1">
      <alignment vertical="center"/>
      <protection hidden="1"/>
    </xf>
    <xf numFmtId="38" fontId="5" fillId="43" borderId="56" xfId="35" applyFont="1" applyFill="1" applyBorder="1" applyAlignment="1" applyProtection="1">
      <alignment vertical="center"/>
      <protection hidden="1"/>
    </xf>
    <xf numFmtId="0" fontId="0" fillId="41" borderId="57" xfId="0" applyFont="1" applyFill="1" applyBorder="1" applyAlignment="1" applyProtection="1">
      <alignment vertical="center"/>
      <protection hidden="1"/>
    </xf>
    <xf numFmtId="0" fontId="0" fillId="0" borderId="16" xfId="0" applyFont="1" applyFill="1" applyBorder="1" applyAlignment="1" applyProtection="1">
      <alignment horizontal="right" vertical="center"/>
      <protection hidden="1"/>
    </xf>
    <xf numFmtId="0" fontId="56" fillId="0" borderId="18" xfId="0" applyFont="1" applyFill="1" applyBorder="1" applyAlignment="1" applyProtection="1">
      <alignment vertical="center"/>
      <protection hidden="1"/>
    </xf>
    <xf numFmtId="0" fontId="0" fillId="43" borderId="58" xfId="0" applyFont="1" applyFill="1" applyBorder="1" applyAlignment="1" applyProtection="1">
      <alignment horizontal="center" vertical="center"/>
      <protection hidden="1"/>
    </xf>
    <xf numFmtId="38" fontId="5" fillId="43" borderId="59" xfId="35" applyFont="1" applyFill="1" applyBorder="1" applyAlignment="1" applyProtection="1">
      <alignment vertical="center"/>
      <protection hidden="1"/>
    </xf>
    <xf numFmtId="0" fontId="60" fillId="0" borderId="60" xfId="0" applyFont="1" applyFill="1" applyBorder="1" applyAlignment="1" applyProtection="1">
      <alignment vertical="center"/>
      <protection hidden="1"/>
    </xf>
    <xf numFmtId="38" fontId="7" fillId="0" borderId="60" xfId="35" applyFont="1" applyFill="1" applyBorder="1" applyAlignment="1" applyProtection="1">
      <alignment horizontal="right" vertical="center"/>
      <protection hidden="1"/>
    </xf>
    <xf numFmtId="38" fontId="0" fillId="0" borderId="60" xfId="0" quotePrefix="1" applyNumberFormat="1" applyFont="1" applyFill="1" applyBorder="1" applyAlignment="1" applyProtection="1">
      <alignment vertical="center"/>
      <protection hidden="1"/>
    </xf>
    <xf numFmtId="38" fontId="0" fillId="0" borderId="60" xfId="0" applyNumberFormat="1" applyFont="1" applyFill="1" applyBorder="1" applyAlignment="1" applyProtection="1">
      <alignment vertical="center"/>
      <protection hidden="1"/>
    </xf>
    <xf numFmtId="0" fontId="0" fillId="0" borderId="60" xfId="0" applyFont="1" applyFill="1" applyBorder="1" applyAlignment="1" applyProtection="1">
      <alignment vertical="center"/>
      <protection hidden="1"/>
    </xf>
    <xf numFmtId="38" fontId="9" fillId="0" borderId="60" xfId="35" applyFont="1" applyFill="1" applyBorder="1" applyAlignment="1" applyProtection="1">
      <alignment vertical="center"/>
      <protection hidden="1"/>
    </xf>
    <xf numFmtId="38" fontId="34" fillId="0" borderId="60" xfId="35" applyFont="1" applyFill="1" applyBorder="1" applyAlignment="1" applyProtection="1">
      <alignment vertical="top"/>
      <protection hidden="1"/>
    </xf>
    <xf numFmtId="0" fontId="0" fillId="0" borderId="0" xfId="0" applyFont="1" applyFill="1" applyAlignment="1" applyProtection="1">
      <alignment horizontal="left" vertical="center" indent="1"/>
      <protection hidden="1"/>
    </xf>
    <xf numFmtId="0" fontId="61" fillId="37" borderId="8" xfId="0" applyFont="1" applyFill="1" applyBorder="1" applyAlignment="1" applyProtection="1">
      <alignment horizontal="center" vertical="center" wrapText="1"/>
      <protection hidden="1"/>
    </xf>
    <xf numFmtId="176" fontId="4" fillId="45" borderId="119" xfId="0" applyNumberFormat="1" applyFont="1" applyFill="1" applyBorder="1" applyAlignment="1" applyProtection="1">
      <alignment horizontal="right" vertical="center"/>
      <protection locked="0" hidden="1"/>
    </xf>
    <xf numFmtId="176" fontId="4" fillId="45" borderId="120" xfId="0" applyNumberFormat="1" applyFont="1" applyFill="1" applyBorder="1" applyAlignment="1" applyProtection="1">
      <alignment horizontal="right" vertical="center"/>
      <protection locked="0" hidden="1"/>
    </xf>
    <xf numFmtId="176" fontId="4" fillId="45" borderId="121" xfId="0" applyNumberFormat="1" applyFont="1" applyFill="1" applyBorder="1" applyAlignment="1" applyProtection="1">
      <alignment horizontal="right" vertical="center"/>
      <protection locked="0" hidden="1"/>
    </xf>
    <xf numFmtId="176" fontId="4" fillId="0" borderId="122" xfId="0" applyNumberFormat="1" applyFont="1" applyFill="1" applyBorder="1" applyAlignment="1" applyProtection="1">
      <alignment horizontal="right" vertical="center"/>
      <protection locked="0" hidden="1"/>
    </xf>
    <xf numFmtId="176" fontId="4" fillId="0" borderId="123" xfId="0" applyNumberFormat="1" applyFont="1" applyFill="1" applyBorder="1" applyAlignment="1" applyProtection="1">
      <alignment horizontal="right" vertical="center"/>
      <protection locked="0" hidden="1"/>
    </xf>
    <xf numFmtId="176" fontId="4" fillId="0" borderId="124" xfId="0" applyNumberFormat="1" applyFont="1" applyFill="1" applyBorder="1" applyAlignment="1" applyProtection="1">
      <alignment horizontal="right" vertical="center"/>
      <protection locked="0" hidden="1"/>
    </xf>
    <xf numFmtId="176" fontId="4" fillId="0" borderId="61" xfId="0" applyNumberFormat="1" applyFont="1" applyFill="1" applyBorder="1" applyAlignment="1" applyProtection="1">
      <alignment horizontal="right" vertical="center"/>
      <protection locked="0" hidden="1"/>
    </xf>
    <xf numFmtId="176" fontId="4" fillId="0" borderId="62" xfId="0" applyNumberFormat="1" applyFont="1" applyFill="1" applyBorder="1" applyAlignment="1" applyProtection="1">
      <alignment horizontal="right" vertical="center"/>
      <protection locked="0" hidden="1"/>
    </xf>
    <xf numFmtId="176" fontId="4" fillId="0" borderId="125" xfId="0" applyNumberFormat="1" applyFont="1" applyFill="1" applyBorder="1" applyAlignment="1" applyProtection="1">
      <alignment horizontal="right" vertical="center"/>
      <protection locked="0" hidden="1"/>
    </xf>
    <xf numFmtId="38" fontId="7" fillId="35" borderId="63" xfId="35" applyFont="1" applyFill="1" applyBorder="1" applyAlignment="1" applyProtection="1">
      <alignment horizontal="center" vertical="center"/>
      <protection hidden="1"/>
    </xf>
    <xf numFmtId="10" fontId="7" fillId="35" borderId="64" xfId="0" applyNumberFormat="1" applyFont="1" applyFill="1" applyBorder="1" applyAlignment="1" applyProtection="1">
      <alignment horizontal="center" vertical="center"/>
      <protection hidden="1"/>
    </xf>
    <xf numFmtId="38" fontId="7" fillId="38" borderId="63" xfId="35" applyFont="1" applyFill="1" applyBorder="1" applyAlignment="1" applyProtection="1">
      <alignment horizontal="center" vertical="center"/>
      <protection hidden="1"/>
    </xf>
    <xf numFmtId="10" fontId="7" fillId="38" borderId="64" xfId="0" applyNumberFormat="1" applyFont="1" applyFill="1" applyBorder="1" applyAlignment="1" applyProtection="1">
      <alignment horizontal="center" vertical="center"/>
      <protection hidden="1"/>
    </xf>
    <xf numFmtId="38" fontId="7" fillId="36" borderId="65" xfId="35" applyFont="1" applyFill="1" applyBorder="1" applyAlignment="1" applyProtection="1">
      <alignment horizontal="center" vertical="center"/>
      <protection hidden="1"/>
    </xf>
    <xf numFmtId="10" fontId="7" fillId="36" borderId="66" xfId="0" applyNumberFormat="1" applyFont="1" applyFill="1" applyBorder="1" applyAlignment="1" applyProtection="1">
      <alignment horizontal="center" vertical="center"/>
      <protection hidden="1"/>
    </xf>
    <xf numFmtId="38" fontId="7" fillId="43" borderId="67" xfId="0" applyNumberFormat="1" applyFont="1" applyFill="1" applyBorder="1" applyAlignment="1" applyProtection="1">
      <alignment horizontal="center" vertical="center"/>
      <protection hidden="1"/>
    </xf>
    <xf numFmtId="10" fontId="7" fillId="43" borderId="68" xfId="0" applyNumberFormat="1" applyFont="1" applyFill="1" applyBorder="1" applyAlignment="1" applyProtection="1">
      <alignment horizontal="center" vertical="center"/>
      <protection hidden="1"/>
    </xf>
    <xf numFmtId="0" fontId="0" fillId="43" borderId="69" xfId="0" applyFont="1" applyFill="1" applyBorder="1" applyAlignment="1" applyProtection="1">
      <alignment horizontal="center" vertical="center"/>
      <protection hidden="1"/>
    </xf>
    <xf numFmtId="0" fontId="0" fillId="43" borderId="70" xfId="0" applyFont="1" applyFill="1" applyBorder="1" applyAlignment="1" applyProtection="1">
      <alignment horizontal="center" vertical="center"/>
      <protection hidden="1"/>
    </xf>
    <xf numFmtId="38" fontId="9" fillId="43" borderId="71" xfId="35" applyFont="1" applyFill="1" applyBorder="1" applyAlignment="1" applyProtection="1">
      <alignment horizontal="right" vertical="center"/>
      <protection hidden="1"/>
    </xf>
    <xf numFmtId="38" fontId="9" fillId="43" borderId="72" xfId="35" applyFont="1" applyFill="1" applyBorder="1" applyAlignment="1" applyProtection="1">
      <alignment horizontal="right" vertical="center"/>
      <protection hidden="1"/>
    </xf>
    <xf numFmtId="38" fontId="9" fillId="43" borderId="73" xfId="35" applyFont="1" applyFill="1" applyBorder="1" applyAlignment="1" applyProtection="1">
      <alignment horizontal="right" vertical="center"/>
      <protection hidden="1"/>
    </xf>
    <xf numFmtId="38" fontId="9" fillId="43" borderId="74" xfId="35" applyFont="1" applyFill="1" applyBorder="1" applyAlignment="1" applyProtection="1">
      <alignment horizontal="right" vertical="center"/>
      <protection hidden="1"/>
    </xf>
    <xf numFmtId="38" fontId="9" fillId="43" borderId="75" xfId="35" applyFont="1" applyFill="1" applyBorder="1" applyAlignment="1" applyProtection="1">
      <alignment horizontal="right" vertical="center"/>
      <protection hidden="1"/>
    </xf>
    <xf numFmtId="38" fontId="9" fillId="43" borderId="76" xfId="35" applyFont="1" applyFill="1" applyBorder="1" applyAlignment="1" applyProtection="1">
      <alignment horizontal="right" vertical="center"/>
      <protection hidden="1"/>
    </xf>
    <xf numFmtId="38" fontId="34" fillId="46" borderId="77" xfId="35" applyFont="1" applyFill="1" applyBorder="1" applyAlignment="1" applyProtection="1">
      <alignment horizontal="right" vertical="center"/>
      <protection hidden="1"/>
    </xf>
    <xf numFmtId="38" fontId="34" fillId="46" borderId="70" xfId="35" applyFont="1" applyFill="1" applyBorder="1" applyAlignment="1" applyProtection="1">
      <alignment horizontal="right" vertical="center"/>
      <protection hidden="1"/>
    </xf>
    <xf numFmtId="0" fontId="0" fillId="0" borderId="78" xfId="0" applyFont="1" applyFill="1" applyBorder="1" applyAlignment="1" applyProtection="1">
      <alignment horizontal="center" vertical="center"/>
      <protection hidden="1"/>
    </xf>
    <xf numFmtId="0" fontId="0" fillId="0" borderId="39" xfId="0" applyFont="1" applyFill="1" applyBorder="1" applyAlignment="1" applyProtection="1">
      <alignment horizontal="center" vertical="center"/>
      <protection hidden="1"/>
    </xf>
    <xf numFmtId="0" fontId="0" fillId="5" borderId="34" xfId="0" applyFont="1" applyFill="1" applyBorder="1" applyAlignment="1" applyProtection="1">
      <alignment horizontal="center" vertical="center"/>
      <protection hidden="1"/>
    </xf>
    <xf numFmtId="0" fontId="0" fillId="5" borderId="79" xfId="0" applyFont="1" applyFill="1" applyBorder="1" applyAlignment="1" applyProtection="1">
      <alignment horizontal="center" vertical="center"/>
      <protection hidden="1"/>
    </xf>
    <xf numFmtId="0" fontId="0" fillId="5" borderId="36" xfId="0" applyFont="1" applyFill="1" applyBorder="1" applyAlignment="1" applyProtection="1">
      <alignment horizontal="center" vertical="center"/>
      <protection hidden="1"/>
    </xf>
    <xf numFmtId="0" fontId="0" fillId="5" borderId="43" xfId="0" applyFont="1" applyFill="1" applyBorder="1" applyAlignment="1" applyProtection="1">
      <alignment horizontal="center" vertical="center"/>
      <protection hidden="1"/>
    </xf>
    <xf numFmtId="0" fontId="24" fillId="5" borderId="0" xfId="0" applyFont="1" applyFill="1" applyBorder="1" applyAlignment="1" applyProtection="1">
      <alignment horizontal="center" vertical="center" wrapText="1"/>
      <protection hidden="1"/>
    </xf>
    <xf numFmtId="0" fontId="28" fillId="37" borderId="36" xfId="0" applyFont="1" applyFill="1" applyBorder="1" applyAlignment="1" applyProtection="1">
      <alignment horizontal="center" vertical="center"/>
      <protection hidden="1"/>
    </xf>
    <xf numFmtId="0" fontId="28" fillId="37" borderId="43" xfId="0" applyFont="1" applyFill="1" applyBorder="1" applyAlignment="1" applyProtection="1">
      <alignment horizontal="center" vertical="center"/>
      <protection hidden="1"/>
    </xf>
    <xf numFmtId="0" fontId="0" fillId="0" borderId="15" xfId="0" applyFont="1" applyFill="1" applyBorder="1" applyAlignment="1" applyProtection="1">
      <alignment horizontal="center" vertical="center"/>
      <protection hidden="1"/>
    </xf>
    <xf numFmtId="0" fontId="0" fillId="0" borderId="32" xfId="0" applyFont="1" applyFill="1" applyBorder="1" applyAlignment="1" applyProtection="1">
      <alignment horizontal="center" vertical="center"/>
      <protection hidden="1"/>
    </xf>
    <xf numFmtId="176" fontId="0" fillId="40" borderId="16" xfId="0" applyNumberFormat="1" applyFont="1" applyFill="1" applyBorder="1" applyAlignment="1" applyProtection="1">
      <alignment horizontal="center" vertical="center" wrapText="1"/>
      <protection hidden="1"/>
    </xf>
    <xf numFmtId="176" fontId="0" fillId="40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Font="1" applyFill="1" applyBorder="1" applyAlignment="1" applyProtection="1">
      <alignment horizontal="center" vertical="center"/>
      <protection hidden="1"/>
    </xf>
    <xf numFmtId="0" fontId="0" fillId="0" borderId="17" xfId="0" applyFont="1" applyFill="1" applyBorder="1" applyAlignment="1" applyProtection="1">
      <alignment horizontal="center" vertic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center" vertical="center"/>
      <protection hidden="1"/>
    </xf>
    <xf numFmtId="0" fontId="0" fillId="0" borderId="16" xfId="0" applyFont="1" applyFill="1" applyBorder="1" applyAlignment="1" applyProtection="1">
      <alignment horizontal="center" vertical="center"/>
      <protection hidden="1"/>
    </xf>
    <xf numFmtId="0" fontId="0" fillId="0" borderId="29" xfId="0" applyFont="1" applyFill="1" applyBorder="1" applyAlignment="1" applyProtection="1">
      <alignment horizontal="center" vertical="center"/>
      <protection hidden="1"/>
    </xf>
    <xf numFmtId="0" fontId="0" fillId="0" borderId="30" xfId="0" applyFont="1" applyFill="1" applyBorder="1" applyAlignment="1" applyProtection="1">
      <alignment horizontal="center" vertical="center"/>
      <protection hidden="1"/>
    </xf>
    <xf numFmtId="0" fontId="62" fillId="47" borderId="0" xfId="0" applyFont="1" applyFill="1" applyAlignment="1" applyProtection="1">
      <alignment horizontal="left" vertical="center"/>
      <protection hidden="1"/>
    </xf>
    <xf numFmtId="0" fontId="63" fillId="5" borderId="0" xfId="0" applyFont="1" applyFill="1" applyAlignment="1" applyProtection="1">
      <alignment horizontal="center" vertical="top" wrapText="1"/>
      <protection hidden="1"/>
    </xf>
    <xf numFmtId="0" fontId="53" fillId="37" borderId="7" xfId="0" applyFont="1" applyFill="1" applyBorder="1" applyAlignment="1" applyProtection="1">
      <alignment horizontal="center" vertical="center" wrapText="1"/>
      <protection hidden="1"/>
    </xf>
    <xf numFmtId="0" fontId="53" fillId="37" borderId="8" xfId="0" applyFont="1" applyFill="1" applyBorder="1" applyAlignment="1" applyProtection="1">
      <alignment horizontal="center" vertical="center" wrapText="1"/>
      <protection hidden="1"/>
    </xf>
    <xf numFmtId="0" fontId="53" fillId="37" borderId="8" xfId="0" applyFont="1" applyFill="1" applyBorder="1" applyAlignment="1" applyProtection="1">
      <alignment horizontal="center" vertical="center"/>
      <protection hidden="1"/>
    </xf>
    <xf numFmtId="0" fontId="53" fillId="37" borderId="80" xfId="0" applyFont="1" applyFill="1" applyBorder="1" applyAlignment="1" applyProtection="1">
      <alignment horizontal="center" vertical="center"/>
      <protection hidden="1"/>
    </xf>
    <xf numFmtId="0" fontId="16" fillId="42" borderId="81" xfId="0" applyFont="1" applyFill="1" applyBorder="1" applyAlignment="1" applyProtection="1">
      <alignment horizontal="center" vertical="center" wrapText="1"/>
      <protection hidden="1"/>
    </xf>
    <xf numFmtId="0" fontId="61" fillId="42" borderId="21" xfId="0" applyFont="1" applyFill="1" applyBorder="1" applyAlignment="1" applyProtection="1">
      <alignment horizontal="center" vertical="center" wrapText="1"/>
      <protection hidden="1"/>
    </xf>
    <xf numFmtId="0" fontId="61" fillId="42" borderId="82" xfId="0" applyFont="1" applyFill="1" applyBorder="1" applyAlignment="1" applyProtection="1">
      <alignment horizontal="center" vertical="center" wrapText="1"/>
      <protection hidden="1"/>
    </xf>
    <xf numFmtId="0" fontId="53" fillId="37" borderId="26" xfId="0" applyFont="1" applyFill="1" applyBorder="1" applyAlignment="1" applyProtection="1">
      <alignment horizontal="center" vertical="center"/>
      <protection hidden="1"/>
    </xf>
    <xf numFmtId="0" fontId="53" fillId="37" borderId="27" xfId="0" applyFont="1" applyFill="1" applyBorder="1" applyAlignment="1" applyProtection="1">
      <alignment horizontal="center" vertical="center"/>
      <protection hidden="1"/>
    </xf>
    <xf numFmtId="178" fontId="5" fillId="37" borderId="26" xfId="0" applyNumberFormat="1" applyFont="1" applyFill="1" applyBorder="1" applyAlignment="1" applyProtection="1">
      <alignment horizontal="right" vertical="center"/>
      <protection hidden="1"/>
    </xf>
    <xf numFmtId="178" fontId="5" fillId="37" borderId="28" xfId="0" applyNumberFormat="1" applyFont="1" applyFill="1" applyBorder="1" applyAlignment="1" applyProtection="1">
      <alignment horizontal="right" vertical="center"/>
      <protection hidden="1"/>
    </xf>
    <xf numFmtId="0" fontId="24" fillId="5" borderId="0" xfId="0" applyFont="1" applyFill="1" applyBorder="1" applyAlignment="1" applyProtection="1">
      <alignment horizontal="center" wrapText="1"/>
      <protection hidden="1"/>
    </xf>
    <xf numFmtId="0" fontId="64" fillId="37" borderId="34" xfId="0" applyFont="1" applyFill="1" applyBorder="1" applyAlignment="1" applyProtection="1">
      <alignment horizontal="center" vertical="center"/>
      <protection hidden="1"/>
    </xf>
    <xf numFmtId="0" fontId="10" fillId="37" borderId="79" xfId="0" applyFont="1" applyFill="1" applyBorder="1" applyAlignment="1" applyProtection="1">
      <alignment horizontal="center" vertical="center"/>
      <protection hidden="1"/>
    </xf>
    <xf numFmtId="0" fontId="30" fillId="45" borderId="126" xfId="0" applyFont="1" applyFill="1" applyBorder="1" applyAlignment="1" applyProtection="1">
      <alignment horizontal="center" vertical="center" wrapText="1" shrinkToFit="1"/>
      <protection hidden="1"/>
    </xf>
    <xf numFmtId="0" fontId="30" fillId="45" borderId="126" xfId="0" applyFont="1" applyFill="1" applyBorder="1" applyAlignment="1" applyProtection="1">
      <alignment horizontal="center" vertical="center" shrinkToFit="1"/>
      <protection hidden="1"/>
    </xf>
    <xf numFmtId="178" fontId="17" fillId="45" borderId="126" xfId="0" applyNumberFormat="1" applyFont="1" applyFill="1" applyBorder="1" applyAlignment="1" applyProtection="1">
      <alignment horizontal="right" vertical="center"/>
      <protection hidden="1"/>
    </xf>
    <xf numFmtId="0" fontId="43" fillId="0" borderId="26" xfId="0" applyFont="1" applyFill="1" applyBorder="1" applyAlignment="1" applyProtection="1">
      <alignment horizontal="center" vertical="center"/>
      <protection hidden="1"/>
    </xf>
    <xf numFmtId="0" fontId="43" fillId="0" borderId="28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21" xfId="0" applyFont="1" applyFill="1" applyBorder="1" applyAlignment="1" applyProtection="1">
      <alignment horizontal="center" vertical="center"/>
      <protection hidden="1"/>
    </xf>
    <xf numFmtId="0" fontId="0" fillId="0" borderId="98" xfId="0" applyFont="1" applyFill="1" applyBorder="1" applyAlignment="1" applyProtection="1">
      <alignment horizontal="center" vertical="center"/>
      <protection hidden="1"/>
    </xf>
    <xf numFmtId="0" fontId="0" fillId="0" borderId="15" xfId="0" applyFont="1" applyFill="1" applyBorder="1" applyAlignment="1" applyProtection="1">
      <alignment horizontal="right" vertical="center"/>
      <protection hidden="1"/>
    </xf>
    <xf numFmtId="0" fontId="60" fillId="5" borderId="0" xfId="0" applyFont="1" applyFill="1" applyAlignment="1" applyProtection="1">
      <alignment horizontal="left" wrapText="1"/>
      <protection hidden="1"/>
    </xf>
    <xf numFmtId="0" fontId="60" fillId="5" borderId="83" xfId="0" applyFont="1" applyFill="1" applyBorder="1" applyAlignment="1" applyProtection="1">
      <alignment horizontal="left" wrapText="1"/>
      <protection hidden="1"/>
    </xf>
    <xf numFmtId="0" fontId="10" fillId="37" borderId="19" xfId="0" applyFont="1" applyFill="1" applyBorder="1" applyAlignment="1" applyProtection="1">
      <alignment horizontal="center" vertical="center" wrapText="1"/>
      <protection hidden="1"/>
    </xf>
    <xf numFmtId="0" fontId="10" fillId="37" borderId="84" xfId="0" applyFont="1" applyFill="1" applyBorder="1" applyAlignment="1" applyProtection="1">
      <alignment horizontal="center" vertical="center"/>
      <protection hidden="1"/>
    </xf>
    <xf numFmtId="38" fontId="9" fillId="35" borderId="29" xfId="35" applyFont="1" applyFill="1" applyBorder="1" applyAlignment="1" applyProtection="1">
      <alignment horizontal="right" vertical="center"/>
      <protection hidden="1"/>
    </xf>
    <xf numFmtId="38" fontId="9" fillId="35" borderId="33" xfId="35" applyFont="1" applyFill="1" applyBorder="1" applyAlignment="1" applyProtection="1">
      <alignment horizontal="right" vertical="center"/>
      <protection hidden="1"/>
    </xf>
    <xf numFmtId="38" fontId="9" fillId="38" borderId="29" xfId="35" applyFont="1" applyFill="1" applyBorder="1" applyAlignment="1" applyProtection="1">
      <alignment horizontal="right" vertical="center"/>
      <protection hidden="1"/>
    </xf>
    <xf numFmtId="38" fontId="9" fillId="38" borderId="33" xfId="35" applyFont="1" applyFill="1" applyBorder="1" applyAlignment="1" applyProtection="1">
      <alignment horizontal="right" vertical="center"/>
      <protection hidden="1"/>
    </xf>
    <xf numFmtId="0" fontId="0" fillId="35" borderId="14" xfId="0" applyFont="1" applyFill="1" applyBorder="1" applyAlignment="1" applyProtection="1">
      <alignment horizontal="center" vertical="center"/>
      <protection hidden="1"/>
    </xf>
    <xf numFmtId="0" fontId="0" fillId="35" borderId="32" xfId="0" applyFont="1" applyFill="1" applyBorder="1" applyAlignment="1" applyProtection="1">
      <alignment horizontal="center" vertical="center"/>
      <protection hidden="1"/>
    </xf>
    <xf numFmtId="0" fontId="0" fillId="38" borderId="14" xfId="0" applyFont="1" applyFill="1" applyBorder="1" applyAlignment="1" applyProtection="1">
      <alignment horizontal="center" vertical="center"/>
      <protection hidden="1"/>
    </xf>
    <xf numFmtId="0" fontId="0" fillId="38" borderId="32" xfId="0" applyFont="1" applyFill="1" applyBorder="1" applyAlignment="1" applyProtection="1">
      <alignment horizontal="center" vertical="center"/>
      <protection hidden="1"/>
    </xf>
    <xf numFmtId="0" fontId="1" fillId="36" borderId="85" xfId="0" applyFont="1" applyFill="1" applyBorder="1" applyAlignment="1" applyProtection="1">
      <alignment horizontal="center" vertical="center"/>
      <protection hidden="1"/>
    </xf>
    <xf numFmtId="0" fontId="0" fillId="36" borderId="86" xfId="0" applyFont="1" applyFill="1" applyBorder="1" applyAlignment="1" applyProtection="1">
      <alignment horizontal="center" vertical="center"/>
      <protection hidden="1"/>
    </xf>
    <xf numFmtId="0" fontId="0" fillId="37" borderId="10" xfId="0" applyFont="1" applyFill="1" applyBorder="1" applyAlignment="1" applyProtection="1">
      <alignment horizontal="center" vertical="center"/>
      <protection hidden="1"/>
    </xf>
    <xf numFmtId="0" fontId="0" fillId="37" borderId="87" xfId="0" applyFont="1" applyFill="1" applyBorder="1" applyAlignment="1" applyProtection="1">
      <alignment horizontal="center" vertical="center"/>
      <protection hidden="1"/>
    </xf>
    <xf numFmtId="0" fontId="0" fillId="37" borderId="18" xfId="0" applyFont="1" applyFill="1" applyBorder="1" applyAlignment="1" applyProtection="1">
      <alignment horizontal="center" vertical="center"/>
      <protection hidden="1"/>
    </xf>
    <xf numFmtId="0" fontId="0" fillId="37" borderId="83" xfId="0" applyFont="1" applyFill="1" applyBorder="1" applyAlignment="1" applyProtection="1">
      <alignment horizontal="center" vertical="center"/>
      <protection hidden="1"/>
    </xf>
    <xf numFmtId="0" fontId="56" fillId="5" borderId="0" xfId="0" applyFont="1" applyFill="1" applyBorder="1" applyAlignment="1" applyProtection="1">
      <alignment horizontal="left" wrapText="1"/>
      <protection hidden="1"/>
    </xf>
    <xf numFmtId="0" fontId="26" fillId="5" borderId="0" xfId="0" applyFont="1" applyFill="1" applyAlignment="1" applyProtection="1">
      <alignment horizontal="left" vertical="top" wrapText="1"/>
      <protection hidden="1"/>
    </xf>
    <xf numFmtId="0" fontId="56" fillId="5" borderId="0" xfId="0" applyFont="1" applyFill="1" applyAlignment="1" applyProtection="1">
      <alignment horizontal="left" vertical="top" wrapText="1"/>
      <protection hidden="1"/>
    </xf>
    <xf numFmtId="0" fontId="56" fillId="5" borderId="83" xfId="0" applyFont="1" applyFill="1" applyBorder="1" applyAlignment="1" applyProtection="1">
      <alignment horizontal="left" vertical="top" wrapText="1"/>
      <protection hidden="1"/>
    </xf>
    <xf numFmtId="38" fontId="10" fillId="37" borderId="16" xfId="35" applyFont="1" applyFill="1" applyBorder="1" applyAlignment="1" applyProtection="1">
      <alignment horizontal="center" vertical="center"/>
      <protection hidden="1"/>
    </xf>
    <xf numFmtId="38" fontId="10" fillId="37" borderId="21" xfId="35" applyFont="1" applyFill="1" applyBorder="1" applyAlignment="1" applyProtection="1">
      <alignment horizontal="center" vertical="center"/>
      <protection hidden="1"/>
    </xf>
    <xf numFmtId="38" fontId="9" fillId="35" borderId="88" xfId="35" applyFont="1" applyFill="1" applyBorder="1" applyAlignment="1" applyProtection="1">
      <alignment horizontal="right" vertical="center"/>
      <protection hidden="1"/>
    </xf>
    <xf numFmtId="38" fontId="9" fillId="35" borderId="89" xfId="35" applyFont="1" applyFill="1" applyBorder="1" applyAlignment="1" applyProtection="1">
      <alignment horizontal="right" vertical="center"/>
      <protection hidden="1"/>
    </xf>
    <xf numFmtId="38" fontId="9" fillId="38" borderId="88" xfId="35" applyFont="1" applyFill="1" applyBorder="1" applyAlignment="1" applyProtection="1">
      <alignment horizontal="right" vertical="center"/>
      <protection hidden="1"/>
    </xf>
    <xf numFmtId="38" fontId="9" fillId="38" borderId="89" xfId="35" applyFont="1" applyFill="1" applyBorder="1" applyAlignment="1" applyProtection="1">
      <alignment horizontal="right" vertical="center"/>
      <protection hidden="1"/>
    </xf>
    <xf numFmtId="38" fontId="9" fillId="36" borderId="90" xfId="35" applyFont="1" applyFill="1" applyBorder="1" applyAlignment="1" applyProtection="1">
      <alignment horizontal="right" vertical="center"/>
      <protection hidden="1"/>
    </xf>
    <xf numFmtId="38" fontId="9" fillId="36" borderId="91" xfId="35" applyFont="1" applyFill="1" applyBorder="1" applyAlignment="1" applyProtection="1">
      <alignment horizontal="right" vertical="center"/>
      <protection hidden="1"/>
    </xf>
    <xf numFmtId="0" fontId="0" fillId="0" borderId="10" xfId="0" applyFont="1" applyFill="1" applyBorder="1" applyAlignment="1" applyProtection="1">
      <alignment horizontal="center" vertical="center"/>
      <protection hidden="1"/>
    </xf>
    <xf numFmtId="0" fontId="0" fillId="0" borderId="12" xfId="0" applyFont="1" applyFill="1" applyBorder="1" applyAlignment="1" applyProtection="1">
      <alignment horizontal="center" vertical="center"/>
      <protection hidden="1"/>
    </xf>
    <xf numFmtId="38" fontId="1" fillId="37" borderId="92" xfId="35" applyFont="1" applyFill="1" applyBorder="1" applyAlignment="1" applyProtection="1">
      <alignment horizontal="right" vertical="center"/>
      <protection hidden="1"/>
    </xf>
    <xf numFmtId="38" fontId="1" fillId="37" borderId="93" xfId="35" applyFont="1" applyFill="1" applyBorder="1" applyAlignment="1" applyProtection="1">
      <alignment horizontal="right" vertical="center"/>
      <protection hidden="1"/>
    </xf>
    <xf numFmtId="0" fontId="65" fillId="5" borderId="0" xfId="0" applyFont="1" applyFill="1" applyAlignment="1" applyProtection="1">
      <alignment horizontal="left" vertical="center" wrapText="1"/>
      <protection hidden="1"/>
    </xf>
    <xf numFmtId="0" fontId="0" fillId="37" borderId="94" xfId="0" applyFont="1" applyFill="1" applyBorder="1" applyAlignment="1" applyProtection="1">
      <alignment horizontal="center" vertical="center"/>
      <protection hidden="1"/>
    </xf>
    <xf numFmtId="0" fontId="0" fillId="37" borderId="95" xfId="0" applyFont="1" applyFill="1" applyBorder="1" applyAlignment="1" applyProtection="1">
      <alignment horizontal="center" vertical="center"/>
      <protection hidden="1"/>
    </xf>
    <xf numFmtId="38" fontId="1" fillId="37" borderId="96" xfId="35" applyFont="1" applyFill="1" applyBorder="1" applyAlignment="1" applyProtection="1">
      <alignment horizontal="right" vertical="center"/>
      <protection hidden="1"/>
    </xf>
    <xf numFmtId="38" fontId="1" fillId="37" borderId="97" xfId="35" applyFont="1" applyFill="1" applyBorder="1" applyAlignment="1" applyProtection="1">
      <alignment horizontal="right" vertical="center"/>
      <protection hidden="1"/>
    </xf>
    <xf numFmtId="38" fontId="9" fillId="38" borderId="99" xfId="35" applyFont="1" applyFill="1" applyBorder="1" applyAlignment="1" applyProtection="1">
      <alignment horizontal="right" vertical="center"/>
      <protection hidden="1"/>
    </xf>
    <xf numFmtId="38" fontId="9" fillId="38" borderId="100" xfId="35" applyFont="1" applyFill="1" applyBorder="1" applyAlignment="1" applyProtection="1">
      <alignment horizontal="right" vertical="center"/>
      <protection hidden="1"/>
    </xf>
    <xf numFmtId="38" fontId="9" fillId="36" borderId="99" xfId="35" applyFont="1" applyFill="1" applyBorder="1" applyAlignment="1" applyProtection="1">
      <alignment horizontal="right" vertical="center"/>
      <protection hidden="1"/>
    </xf>
    <xf numFmtId="38" fontId="9" fillId="36" borderId="101" xfId="35" applyFont="1" applyFill="1" applyBorder="1" applyAlignment="1" applyProtection="1">
      <alignment horizontal="right" vertical="center"/>
      <protection hidden="1"/>
    </xf>
    <xf numFmtId="0" fontId="0" fillId="0" borderId="16" xfId="0" applyFont="1" applyBorder="1" applyAlignment="1" applyProtection="1">
      <alignment horizontal="center" vertical="center" wrapText="1"/>
      <protection hidden="1"/>
    </xf>
    <xf numFmtId="176" fontId="0" fillId="0" borderId="16" xfId="0" applyNumberFormat="1" applyFont="1" applyFill="1" applyBorder="1" applyAlignment="1" applyProtection="1">
      <alignment horizontal="right" vertical="center"/>
      <protection hidden="1"/>
    </xf>
    <xf numFmtId="0" fontId="0" fillId="0" borderId="16" xfId="0" applyFont="1" applyFill="1" applyBorder="1" applyAlignment="1" applyProtection="1">
      <alignment horizontal="right" vertical="center"/>
      <protection hidden="1"/>
    </xf>
    <xf numFmtId="0" fontId="53" fillId="5" borderId="13" xfId="0" applyFont="1" applyFill="1" applyBorder="1" applyAlignment="1" applyProtection="1">
      <alignment horizontal="center" vertical="center"/>
      <protection hidden="1"/>
    </xf>
    <xf numFmtId="0" fontId="53" fillId="5" borderId="25" xfId="0" applyFont="1" applyFill="1" applyBorder="1" applyAlignment="1" applyProtection="1">
      <alignment horizontal="center" vertical="center"/>
      <protection hidden="1"/>
    </xf>
    <xf numFmtId="179" fontId="5" fillId="3" borderId="13" xfId="0" applyNumberFormat="1" applyFont="1" applyFill="1" applyBorder="1" applyAlignment="1" applyProtection="1">
      <alignment horizontal="right" vertical="center"/>
      <protection hidden="1"/>
    </xf>
    <xf numFmtId="179" fontId="5" fillId="3" borderId="25" xfId="0" applyNumberFormat="1" applyFont="1" applyFill="1" applyBorder="1" applyAlignment="1" applyProtection="1">
      <alignment horizontal="right" vertical="center"/>
      <protection hidden="1"/>
    </xf>
    <xf numFmtId="0" fontId="0" fillId="5" borderId="0" xfId="0" applyFont="1" applyFill="1" applyAlignment="1" applyProtection="1">
      <alignment horizontal="center" vertical="center"/>
      <protection hidden="1"/>
    </xf>
    <xf numFmtId="38" fontId="43" fillId="0" borderId="26" xfId="0" applyNumberFormat="1" applyFont="1" applyFill="1" applyBorder="1" applyAlignment="1" applyProtection="1">
      <alignment horizontal="center" vertical="center"/>
      <protection hidden="1"/>
    </xf>
    <xf numFmtId="38" fontId="43" fillId="0" borderId="28" xfId="0" applyNumberFormat="1" applyFont="1" applyFill="1" applyBorder="1" applyAlignment="1" applyProtection="1">
      <alignment horizontal="center" vertical="center"/>
      <protection hidden="1"/>
    </xf>
    <xf numFmtId="0" fontId="66" fillId="48" borderId="0" xfId="0" applyFont="1" applyFill="1" applyAlignment="1" applyProtection="1">
      <alignment horizontal="center" vertical="center"/>
      <protection hidden="1"/>
    </xf>
    <xf numFmtId="0" fontId="0" fillId="0" borderId="44" xfId="0" applyFont="1" applyFill="1" applyBorder="1" applyAlignment="1" applyProtection="1">
      <alignment horizontal="center" vertical="center"/>
      <protection hidden="1"/>
    </xf>
    <xf numFmtId="0" fontId="0" fillId="0" borderId="47" xfId="0" applyFont="1" applyFill="1" applyBorder="1" applyAlignment="1" applyProtection="1">
      <alignment horizontal="center" vertical="center"/>
      <protection hidden="1"/>
    </xf>
    <xf numFmtId="0" fontId="0" fillId="0" borderId="27" xfId="0" applyFont="1" applyFill="1" applyBorder="1" applyAlignment="1" applyProtection="1">
      <alignment horizontal="center" vertical="center"/>
      <protection hidden="1"/>
    </xf>
    <xf numFmtId="0" fontId="0" fillId="0" borderId="33" xfId="0" applyFont="1" applyFill="1" applyBorder="1" applyAlignment="1" applyProtection="1">
      <alignment horizontal="center" vertical="center"/>
      <protection hidden="1"/>
    </xf>
    <xf numFmtId="0" fontId="0" fillId="0" borderId="55" xfId="0" applyFont="1" applyFill="1" applyBorder="1" applyAlignment="1" applyProtection="1">
      <alignment horizontal="center" vertical="center"/>
      <protection hidden="1"/>
    </xf>
    <xf numFmtId="176" fontId="0" fillId="0" borderId="30" xfId="0" applyNumberFormat="1" applyFont="1" applyFill="1" applyBorder="1" applyAlignment="1" applyProtection="1">
      <alignment horizontal="right" vertical="center"/>
      <protection hidden="1"/>
    </xf>
    <xf numFmtId="0" fontId="0" fillId="0" borderId="30" xfId="0" applyFont="1" applyFill="1" applyBorder="1" applyAlignment="1" applyProtection="1">
      <alignment horizontal="right" vertical="center"/>
      <protection hidden="1"/>
    </xf>
    <xf numFmtId="0" fontId="0" fillId="0" borderId="45" xfId="0" applyFont="1" applyFill="1" applyBorder="1" applyAlignment="1" applyProtection="1">
      <alignment horizontal="right" vertical="center"/>
      <protection hidden="1"/>
    </xf>
    <xf numFmtId="0" fontId="0" fillId="0" borderId="48" xfId="0" applyFont="1" applyFill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 vertical="center"/>
      <protection hidden="1"/>
    </xf>
    <xf numFmtId="9" fontId="0" fillId="40" borderId="16" xfId="0" applyNumberFormat="1" applyFont="1" applyFill="1" applyBorder="1" applyAlignment="1" applyProtection="1">
      <alignment horizontal="center" vertical="center" wrapText="1"/>
      <protection hidden="1"/>
    </xf>
    <xf numFmtId="9" fontId="0" fillId="40" borderId="16" xfId="0" applyNumberFormat="1" applyFont="1" applyFill="1" applyBorder="1" applyAlignment="1" applyProtection="1">
      <alignment horizontal="center" vertical="center"/>
      <protection hidden="1"/>
    </xf>
    <xf numFmtId="0" fontId="0" fillId="37" borderId="7" xfId="0" applyFont="1" applyFill="1" applyBorder="1" applyAlignment="1" applyProtection="1">
      <alignment horizontal="center" vertical="center" wrapText="1"/>
      <protection hidden="1"/>
    </xf>
    <xf numFmtId="0" fontId="0" fillId="37" borderId="8" xfId="0" applyFont="1" applyFill="1" applyBorder="1" applyAlignment="1" applyProtection="1">
      <alignment horizontal="center" vertical="center" wrapText="1"/>
      <protection hidden="1"/>
    </xf>
    <xf numFmtId="0" fontId="0" fillId="37" borderId="122" xfId="0" applyFont="1" applyFill="1" applyBorder="1" applyAlignment="1" applyProtection="1">
      <alignment horizontal="center" vertical="center" wrapText="1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0" fillId="0" borderId="45" xfId="0" applyFont="1" applyBorder="1" applyAlignment="1" applyProtection="1">
      <alignment horizontal="center" vertical="center"/>
      <protection hidden="1"/>
    </xf>
    <xf numFmtId="0" fontId="0" fillId="0" borderId="14" xfId="0" applyFont="1" applyFill="1" applyBorder="1" applyAlignment="1" applyProtection="1">
      <alignment horizontal="center" vertical="center" wrapText="1"/>
      <protection hidden="1"/>
    </xf>
    <xf numFmtId="0" fontId="0" fillId="0" borderId="81" xfId="0" applyFont="1" applyFill="1" applyBorder="1" applyAlignment="1" applyProtection="1">
      <alignment horizontal="center" vertical="center" wrapText="1"/>
      <protection hidden="1"/>
    </xf>
    <xf numFmtId="0" fontId="0" fillId="0" borderId="29" xfId="0" applyFont="1" applyFill="1" applyBorder="1" applyAlignment="1" applyProtection="1">
      <alignment horizontal="center" vertical="center" wrapText="1"/>
      <protection hidden="1"/>
    </xf>
    <xf numFmtId="0" fontId="0" fillId="0" borderId="48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15" xfId="0" applyFont="1" applyFill="1" applyBorder="1" applyAlignment="1" applyProtection="1">
      <alignment horizontal="center" vertical="center" wrapText="1"/>
      <protection hidden="1"/>
    </xf>
    <xf numFmtId="0" fontId="0" fillId="0" borderId="16" xfId="0" applyFont="1" applyFill="1" applyBorder="1" applyAlignment="1" applyProtection="1">
      <alignment horizontal="center" vertical="center" wrapText="1"/>
      <protection hidden="1"/>
    </xf>
    <xf numFmtId="0" fontId="0" fillId="0" borderId="32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38" fontId="9" fillId="36" borderId="102" xfId="35" applyFont="1" applyFill="1" applyBorder="1" applyAlignment="1" applyProtection="1">
      <alignment horizontal="right" vertical="center"/>
      <protection hidden="1"/>
    </xf>
    <xf numFmtId="38" fontId="9" fillId="36" borderId="103" xfId="35" applyFont="1" applyFill="1" applyBorder="1" applyAlignment="1" applyProtection="1">
      <alignment horizontal="right" vertical="center"/>
      <protection hidden="1"/>
    </xf>
    <xf numFmtId="38" fontId="9" fillId="35" borderId="99" xfId="35" applyFont="1" applyFill="1" applyBorder="1" applyAlignment="1" applyProtection="1">
      <alignment horizontal="right" vertical="center"/>
      <protection hidden="1"/>
    </xf>
    <xf numFmtId="38" fontId="9" fillId="35" borderId="100" xfId="35" applyFont="1" applyFill="1" applyBorder="1" applyAlignment="1" applyProtection="1">
      <alignment horizontal="right" vertical="center"/>
      <protection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31" lockText="1" noThreeD="1"/>
</file>

<file path=xl/ctrlProps/ctrlProp10.xml><?xml version="1.0" encoding="utf-8"?>
<formControlPr xmlns="http://schemas.microsoft.com/office/spreadsheetml/2009/9/main" objectType="CheckBox" fmlaLink="$E$33" lockText="1" noThreeD="1"/>
</file>

<file path=xl/ctrlProps/ctrlProp11.xml><?xml version="1.0" encoding="utf-8"?>
<formControlPr xmlns="http://schemas.microsoft.com/office/spreadsheetml/2009/9/main" objectType="CheckBox" fmlaLink="$E$34" lockText="1" noThreeD="1"/>
</file>

<file path=xl/ctrlProps/ctrlProp12.xml><?xml version="1.0" encoding="utf-8"?>
<formControlPr xmlns="http://schemas.microsoft.com/office/spreadsheetml/2009/9/main" objectType="CheckBox" fmlaLink="$E$35" lockText="1" noThreeD="1"/>
</file>

<file path=xl/ctrlProps/ctrlProp13.xml><?xml version="1.0" encoding="utf-8"?>
<formControlPr xmlns="http://schemas.microsoft.com/office/spreadsheetml/2009/9/main" objectType="CheckBox" fmlaLink="$E$36" lockText="1" noThreeD="1"/>
</file>

<file path=xl/ctrlProps/ctrlProp14.xml><?xml version="1.0" encoding="utf-8"?>
<formControlPr xmlns="http://schemas.microsoft.com/office/spreadsheetml/2009/9/main" objectType="CheckBox" fmlaLink="$E$37" lockText="1" noThreeD="1"/>
</file>

<file path=xl/ctrlProps/ctrlProp2.xml><?xml version="1.0" encoding="utf-8"?>
<formControlPr xmlns="http://schemas.microsoft.com/office/spreadsheetml/2009/9/main" objectType="CheckBox" fmlaLink="$C$32" lockText="1" noThreeD="1"/>
</file>

<file path=xl/ctrlProps/ctrlProp3.xml><?xml version="1.0" encoding="utf-8"?>
<formControlPr xmlns="http://schemas.microsoft.com/office/spreadsheetml/2009/9/main" objectType="CheckBox" fmlaLink="$C$33" noThreeD="1"/>
</file>

<file path=xl/ctrlProps/ctrlProp4.xml><?xml version="1.0" encoding="utf-8"?>
<formControlPr xmlns="http://schemas.microsoft.com/office/spreadsheetml/2009/9/main" objectType="CheckBox" fmlaLink="$C$34" lockText="1" noThreeD="1"/>
</file>

<file path=xl/ctrlProps/ctrlProp5.xml><?xml version="1.0" encoding="utf-8"?>
<formControlPr xmlns="http://schemas.microsoft.com/office/spreadsheetml/2009/9/main" objectType="CheckBox" fmlaLink="$C$35" lockText="1" noThreeD="1"/>
</file>

<file path=xl/ctrlProps/ctrlProp6.xml><?xml version="1.0" encoding="utf-8"?>
<formControlPr xmlns="http://schemas.microsoft.com/office/spreadsheetml/2009/9/main" objectType="CheckBox" fmlaLink="$C$36" lockText="1" noThreeD="1"/>
</file>

<file path=xl/ctrlProps/ctrlProp7.xml><?xml version="1.0" encoding="utf-8"?>
<formControlPr xmlns="http://schemas.microsoft.com/office/spreadsheetml/2009/9/main" objectType="CheckBox" fmlaLink="$C$37" lockText="1" noThreeD="1"/>
</file>

<file path=xl/ctrlProps/ctrlProp8.xml><?xml version="1.0" encoding="utf-8"?>
<formControlPr xmlns="http://schemas.microsoft.com/office/spreadsheetml/2009/9/main" objectType="CheckBox" fmlaLink="$E$31" lockText="1" noThreeD="1"/>
</file>

<file path=xl/ctrlProps/ctrlProp9.xml><?xml version="1.0" encoding="utf-8"?>
<formControlPr xmlns="http://schemas.microsoft.com/office/spreadsheetml/2009/9/main" objectType="CheckBox" fmlaLink="$E$3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266700</xdr:rowOff>
        </xdr:from>
        <xdr:to>
          <xdr:col>4</xdr:col>
          <xdr:colOff>0</xdr:colOff>
          <xdr:row>13</xdr:row>
          <xdr:rowOff>66675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28575</xdr:rowOff>
        </xdr:from>
        <xdr:to>
          <xdr:col>4</xdr:col>
          <xdr:colOff>0</xdr:colOff>
          <xdr:row>14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14</xdr:row>
          <xdr:rowOff>19050</xdr:rowOff>
        </xdr:from>
        <xdr:to>
          <xdr:col>4</xdr:col>
          <xdr:colOff>0</xdr:colOff>
          <xdr:row>15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15</xdr:row>
          <xdr:rowOff>19050</xdr:rowOff>
        </xdr:from>
        <xdr:to>
          <xdr:col>4</xdr:col>
          <xdr:colOff>0</xdr:colOff>
          <xdr:row>16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16</xdr:row>
          <xdr:rowOff>9525</xdr:rowOff>
        </xdr:from>
        <xdr:to>
          <xdr:col>4</xdr:col>
          <xdr:colOff>0</xdr:colOff>
          <xdr:row>17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17</xdr:row>
          <xdr:rowOff>9525</xdr:rowOff>
        </xdr:from>
        <xdr:to>
          <xdr:col>4</xdr:col>
          <xdr:colOff>0</xdr:colOff>
          <xdr:row>18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38100</xdr:rowOff>
        </xdr:from>
        <xdr:to>
          <xdr:col>3</xdr:col>
          <xdr:colOff>190500</xdr:colOff>
          <xdr:row>19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195400</xdr:colOff>
      <xdr:row>0</xdr:row>
      <xdr:rowOff>0</xdr:rowOff>
    </xdr:from>
    <xdr:ext cx="8265305" cy="559192"/>
    <xdr:sp macro="" textlink="" fLocksText="0">
      <xdr:nvSpPr>
        <xdr:cNvPr id="10" name="正方形/長方形 9">
          <a:extLst>
            <a:ext uri="{FF2B5EF4-FFF2-40B4-BE49-F238E27FC236}">
              <a16:creationId xmlns:a16="http://schemas.microsoft.com/office/drawing/2014/main" id="{1BCA30AB-110A-0B86-22C2-A4C732D316B7}"/>
            </a:ext>
          </a:extLst>
        </xdr:cNvPr>
        <xdr:cNvSpPr/>
      </xdr:nvSpPr>
      <xdr:spPr>
        <a:xfrm>
          <a:off x="1439253" y="0"/>
          <a:ext cx="8265305" cy="55919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ja-JP" altLang="en-US" sz="2800" b="1" cap="none" spc="0">
              <a:ln/>
              <a:solidFill>
                <a:srgbClr val="00B050"/>
              </a:solidFill>
              <a:effectLst/>
            </a:rPr>
            <a:t>令和</a:t>
          </a:r>
          <a:r>
            <a:rPr lang="en-US" altLang="ja-JP" sz="2800" b="1" cap="none" spc="0">
              <a:ln/>
              <a:solidFill>
                <a:srgbClr val="00B050"/>
              </a:solidFill>
              <a:effectLst/>
            </a:rPr>
            <a:t>8</a:t>
          </a:r>
          <a:r>
            <a:rPr lang="ja-JP" altLang="en-US" sz="2800" b="1" cap="none" spc="0">
              <a:ln/>
              <a:solidFill>
                <a:srgbClr val="00B050"/>
              </a:solidFill>
              <a:effectLst/>
            </a:rPr>
            <a:t>年度川口市国民健康保険税額</a:t>
          </a:r>
          <a:r>
            <a:rPr lang="ja-JP" altLang="en-US" sz="2800" b="1" u="sng" cap="none" spc="0">
              <a:ln/>
              <a:solidFill>
                <a:srgbClr val="00B050"/>
              </a:solidFill>
              <a:effectLst/>
            </a:rPr>
            <a:t>試算表</a:t>
          </a:r>
        </a:p>
      </xdr:txBody>
    </xdr:sp>
    <xdr:clientData/>
  </xdr:oneCellAnchor>
  <xdr:oneCellAnchor>
    <xdr:from>
      <xdr:col>9</xdr:col>
      <xdr:colOff>347382</xdr:colOff>
      <xdr:row>15</xdr:row>
      <xdr:rowOff>121584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797B57-8FAB-CB66-4B29-3A5C1616EDFE}"/>
            </a:ext>
          </a:extLst>
        </xdr:cNvPr>
        <xdr:cNvSpPr txBox="1"/>
      </xdr:nvSpPr>
      <xdr:spPr>
        <a:xfrm>
          <a:off x="4738407" y="40077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10</xdr:col>
      <xdr:colOff>932888</xdr:colOff>
      <xdr:row>21</xdr:row>
      <xdr:rowOff>59531</xdr:rowOff>
    </xdr:from>
    <xdr:to>
      <xdr:col>11</xdr:col>
      <xdr:colOff>343879</xdr:colOff>
      <xdr:row>21</xdr:row>
      <xdr:rowOff>321469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2C5CB2-2995-BF48-3A5E-6882E244A806}"/>
            </a:ext>
          </a:extLst>
        </xdr:cNvPr>
        <xdr:cNvSpPr txBox="1"/>
      </xdr:nvSpPr>
      <xdr:spPr>
        <a:xfrm>
          <a:off x="6285938" y="5803106"/>
          <a:ext cx="373016" cy="26193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+mj-ea"/>
              <a:ea typeface="+mj-ea"/>
            </a:rPr>
            <a:t>A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 editAs="oneCell">
    <xdr:from>
      <xdr:col>15</xdr:col>
      <xdr:colOff>438150</xdr:colOff>
      <xdr:row>1</xdr:row>
      <xdr:rowOff>85725</xdr:rowOff>
    </xdr:from>
    <xdr:to>
      <xdr:col>16</xdr:col>
      <xdr:colOff>546100</xdr:colOff>
      <xdr:row>4</xdr:row>
      <xdr:rowOff>209550</xdr:rowOff>
    </xdr:to>
    <xdr:pic>
      <xdr:nvPicPr>
        <xdr:cNvPr id="7312" name="Picture 182">
          <a:extLst>
            <a:ext uri="{FF2B5EF4-FFF2-40B4-BE49-F238E27FC236}">
              <a16:creationId xmlns:a16="http://schemas.microsoft.com/office/drawing/2014/main" id="{92D746E9-3888-6BDC-91E0-CCF8CA5E3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85725"/>
          <a:ext cx="10953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27213</xdr:colOff>
      <xdr:row>3</xdr:row>
      <xdr:rowOff>11206</xdr:rowOff>
    </xdr:from>
    <xdr:to>
      <xdr:col>15</xdr:col>
      <xdr:colOff>326571</xdr:colOff>
      <xdr:row>7</xdr:row>
      <xdr:rowOff>224117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1B5967EC-AC6C-C6A9-1C5B-12EC92B37BA2}"/>
            </a:ext>
          </a:extLst>
        </xdr:cNvPr>
        <xdr:cNvSpPr/>
      </xdr:nvSpPr>
      <xdr:spPr bwMode="auto">
        <a:xfrm>
          <a:off x="128066" y="974912"/>
          <a:ext cx="10250181" cy="1165411"/>
        </a:xfrm>
        <a:prstGeom prst="round2DiagRect">
          <a:avLst/>
        </a:prstGeom>
        <a:noFill/>
        <a:ln w="15875" cap="flat" cmpd="sng" algn="ctr">
          <a:solidFill>
            <a:schemeClr val="tx1"/>
          </a:solidFill>
          <a:prstDash val="lgDash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12</xdr:col>
      <xdr:colOff>862854</xdr:colOff>
      <xdr:row>21</xdr:row>
      <xdr:rowOff>56030</xdr:rowOff>
    </xdr:from>
    <xdr:to>
      <xdr:col>13</xdr:col>
      <xdr:colOff>296257</xdr:colOff>
      <xdr:row>21</xdr:row>
      <xdr:rowOff>317968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9E017BC-5102-B259-0C5E-A3BB3535CBEE}"/>
            </a:ext>
          </a:extLst>
        </xdr:cNvPr>
        <xdr:cNvSpPr txBox="1"/>
      </xdr:nvSpPr>
      <xdr:spPr>
        <a:xfrm>
          <a:off x="7911354" y="5799605"/>
          <a:ext cx="328753" cy="26193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+mj-ea"/>
              <a:ea typeface="+mj-ea"/>
            </a:rPr>
            <a:t>B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851366</xdr:colOff>
      <xdr:row>21</xdr:row>
      <xdr:rowOff>62753</xdr:rowOff>
    </xdr:from>
    <xdr:to>
      <xdr:col>15</xdr:col>
      <xdr:colOff>307181</xdr:colOff>
      <xdr:row>21</xdr:row>
      <xdr:rowOff>324691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67C1F2D-76F0-8292-5B01-AE6394A7413E}"/>
            </a:ext>
          </a:extLst>
        </xdr:cNvPr>
        <xdr:cNvSpPr txBox="1"/>
      </xdr:nvSpPr>
      <xdr:spPr>
        <a:xfrm>
          <a:off x="9531022" y="6075409"/>
          <a:ext cx="324972" cy="26193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+mj-ea"/>
              <a:ea typeface="+mj-ea"/>
            </a:rPr>
            <a:t>C</a:t>
          </a:r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152400</xdr:colOff>
      <xdr:row>24</xdr:row>
      <xdr:rowOff>123825</xdr:rowOff>
    </xdr:from>
    <xdr:to>
      <xdr:col>8</xdr:col>
      <xdr:colOff>19050</xdr:colOff>
      <xdr:row>26</xdr:row>
      <xdr:rowOff>57150</xdr:rowOff>
    </xdr:to>
    <xdr:sp macro="" textlink="">
      <xdr:nvSpPr>
        <xdr:cNvPr id="7316" name="角丸四角形 3">
          <a:extLst>
            <a:ext uri="{FF2B5EF4-FFF2-40B4-BE49-F238E27FC236}">
              <a16:creationId xmlns:a16="http://schemas.microsoft.com/office/drawing/2014/main" id="{FFF82A42-1DE7-1C27-E4EC-A157EA4C4FA0}"/>
            </a:ext>
          </a:extLst>
        </xdr:cNvPr>
        <xdr:cNvSpPr>
          <a:spLocks noChangeArrowheads="1"/>
        </xdr:cNvSpPr>
      </xdr:nvSpPr>
      <xdr:spPr bwMode="auto">
        <a:xfrm>
          <a:off x="247650" y="6953250"/>
          <a:ext cx="3762375" cy="676275"/>
        </a:xfrm>
        <a:prstGeom prst="roundRect">
          <a:avLst>
            <a:gd name="adj" fmla="val 16667"/>
          </a:avLst>
        </a:prstGeom>
        <a:noFill/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88108</xdr:colOff>
      <xdr:row>19</xdr:row>
      <xdr:rowOff>33339</xdr:rowOff>
    </xdr:from>
    <xdr:to>
      <xdr:col>8</xdr:col>
      <xdr:colOff>862854</xdr:colOff>
      <xdr:row>21</xdr:row>
      <xdr:rowOff>56030</xdr:rowOff>
    </xdr:to>
    <xdr:sp macro="" textlink="" fLocksText="0">
      <xdr:nvSpPr>
        <xdr:cNvPr id="18" name="正方形/長方形 17">
          <a:extLst>
            <a:ext uri="{FF2B5EF4-FFF2-40B4-BE49-F238E27FC236}">
              <a16:creationId xmlns:a16="http://schemas.microsoft.com/office/drawing/2014/main" id="{19731F39-55B1-79C3-A528-992E5D864536}"/>
            </a:ext>
          </a:extLst>
        </xdr:cNvPr>
        <xdr:cNvSpPr/>
      </xdr:nvSpPr>
      <xdr:spPr bwMode="auto">
        <a:xfrm>
          <a:off x="88108" y="5378545"/>
          <a:ext cx="4786452" cy="739867"/>
        </a:xfrm>
        <a:prstGeom prst="rect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200"/>
            </a:lnSpc>
          </a:pPr>
          <a:r>
            <a:rPr kumimoji="1" lang="ja-JP" altLang="en-US" sz="1000" u="sng"/>
            <a:t>次のような場合は、正確な試算できません</a:t>
          </a:r>
          <a:r>
            <a:rPr kumimoji="1" lang="ja-JP" altLang="en-US" sz="1000"/>
            <a:t>ので直接お問い合わせください。</a:t>
          </a:r>
        </a:p>
        <a:p>
          <a:pPr algn="l">
            <a:lnSpc>
              <a:spcPts val="1100"/>
            </a:lnSpc>
          </a:pPr>
          <a:r>
            <a:rPr kumimoji="1" lang="ja-JP" altLang="en-US" sz="900"/>
            <a:t> ○上記に記載した世帯主、加入者に未申告者</a:t>
          </a:r>
          <a:r>
            <a:rPr kumimoji="1" lang="en-US" altLang="ja-JP" sz="900"/>
            <a:t>【17</a:t>
          </a:r>
          <a:r>
            <a:rPr kumimoji="1" lang="ja-JP" altLang="en-US" sz="900"/>
            <a:t>歳以上</a:t>
          </a:r>
          <a:r>
            <a:rPr kumimoji="1" lang="en-US" altLang="ja-JP" sz="900"/>
            <a:t>】</a:t>
          </a:r>
          <a:r>
            <a:rPr kumimoji="1" lang="ja-JP" altLang="en-US" sz="900"/>
            <a:t>がいる場合 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en-US" altLang="ja-JP" sz="900"/>
            <a:t> </a:t>
          </a:r>
          <a:r>
            <a:rPr kumimoji="1" lang="ja-JP" altLang="en-US" sz="900"/>
            <a:t>○年度途中で</a:t>
          </a:r>
          <a:r>
            <a:rPr kumimoji="1" lang="en-US" altLang="ja-JP" sz="900"/>
            <a:t>18</a:t>
          </a:r>
          <a:r>
            <a:rPr kumimoji="1" lang="ja-JP" altLang="en-US" sz="900"/>
            <a:t>歳・</a:t>
          </a:r>
          <a:r>
            <a:rPr kumimoji="1" lang="en-US" altLang="ja-JP" sz="900"/>
            <a:t>40</a:t>
          </a:r>
          <a:r>
            <a:rPr kumimoji="1" lang="ja-JP" altLang="en-US" sz="900"/>
            <a:t>歳・</a:t>
          </a:r>
          <a:r>
            <a:rPr kumimoji="1" lang="en-US" altLang="ja-JP" sz="900"/>
            <a:t>65</a:t>
          </a:r>
          <a:r>
            <a:rPr kumimoji="1" lang="ja-JP" altLang="en-US" sz="900"/>
            <a:t>歳・</a:t>
          </a:r>
          <a:r>
            <a:rPr kumimoji="1" lang="en-US" altLang="ja-JP" sz="900"/>
            <a:t>75</a:t>
          </a:r>
          <a:r>
            <a:rPr kumimoji="1" lang="ja-JP" altLang="en-US" sz="900"/>
            <a:t>歳になるかた。または、加入・脱退をするかたがいる場合</a:t>
          </a:r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 ○世帯に後期高齢者医療保険に加入しているかたがいる場合</a:t>
          </a:r>
        </a:p>
        <a:p>
          <a:pPr algn="l"/>
          <a:r>
            <a:rPr kumimoji="1" lang="ja-JP" altLang="en-US" sz="900"/>
            <a:t> ○分離課税所得、専従者給与・控除、純・雑損失の繰越控除がある場合</a:t>
          </a:r>
          <a:endParaRPr kumimoji="1" lang="en-US" altLang="ja-JP" sz="900"/>
        </a:p>
      </xdr:txBody>
    </xdr:sp>
    <xdr:clientData/>
  </xdr:twoCellAnchor>
  <xdr:twoCellAnchor>
    <xdr:from>
      <xdr:col>17</xdr:col>
      <xdr:colOff>11206</xdr:colOff>
      <xdr:row>21</xdr:row>
      <xdr:rowOff>56029</xdr:rowOff>
    </xdr:from>
    <xdr:to>
      <xdr:col>17</xdr:col>
      <xdr:colOff>329873</xdr:colOff>
      <xdr:row>21</xdr:row>
      <xdr:rowOff>317967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179FE56-6C8B-B87D-34D2-D2B2E393F090}"/>
            </a:ext>
          </a:extLst>
        </xdr:cNvPr>
        <xdr:cNvSpPr txBox="1"/>
      </xdr:nvSpPr>
      <xdr:spPr>
        <a:xfrm>
          <a:off x="11710147" y="6118411"/>
          <a:ext cx="318667" cy="261938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D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11</xdr:row>
          <xdr:rowOff>266700</xdr:rowOff>
        </xdr:from>
        <xdr:to>
          <xdr:col>4</xdr:col>
          <xdr:colOff>371475</xdr:colOff>
          <xdr:row>13</xdr:row>
          <xdr:rowOff>66675</xdr:rowOff>
        </xdr:to>
        <xdr:sp macro="" textlink="">
          <xdr:nvSpPr>
            <xdr:cNvPr id="6230" name="Check Box 2134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12</xdr:row>
          <xdr:rowOff>285750</xdr:rowOff>
        </xdr:from>
        <xdr:to>
          <xdr:col>4</xdr:col>
          <xdr:colOff>371475</xdr:colOff>
          <xdr:row>13</xdr:row>
          <xdr:rowOff>266700</xdr:rowOff>
        </xdr:to>
        <xdr:sp macro="" textlink="">
          <xdr:nvSpPr>
            <xdr:cNvPr id="6231" name="Check Box 2135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14</xdr:row>
          <xdr:rowOff>9525</xdr:rowOff>
        </xdr:from>
        <xdr:to>
          <xdr:col>4</xdr:col>
          <xdr:colOff>371475</xdr:colOff>
          <xdr:row>14</xdr:row>
          <xdr:rowOff>276225</xdr:rowOff>
        </xdr:to>
        <xdr:sp macro="" textlink="">
          <xdr:nvSpPr>
            <xdr:cNvPr id="6232" name="Check Box 2136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15</xdr:row>
          <xdr:rowOff>9525</xdr:rowOff>
        </xdr:from>
        <xdr:to>
          <xdr:col>4</xdr:col>
          <xdr:colOff>371475</xdr:colOff>
          <xdr:row>15</xdr:row>
          <xdr:rowOff>276225</xdr:rowOff>
        </xdr:to>
        <xdr:sp macro="" textlink="">
          <xdr:nvSpPr>
            <xdr:cNvPr id="6233" name="Check Box 2137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16</xdr:row>
          <xdr:rowOff>9525</xdr:rowOff>
        </xdr:from>
        <xdr:to>
          <xdr:col>4</xdr:col>
          <xdr:colOff>371475</xdr:colOff>
          <xdr:row>16</xdr:row>
          <xdr:rowOff>276225</xdr:rowOff>
        </xdr:to>
        <xdr:sp macro="" textlink="">
          <xdr:nvSpPr>
            <xdr:cNvPr id="6234" name="Check Box 2138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17</xdr:row>
          <xdr:rowOff>9525</xdr:rowOff>
        </xdr:from>
        <xdr:to>
          <xdr:col>4</xdr:col>
          <xdr:colOff>371475</xdr:colOff>
          <xdr:row>17</xdr:row>
          <xdr:rowOff>276225</xdr:rowOff>
        </xdr:to>
        <xdr:sp macro="" textlink="">
          <xdr:nvSpPr>
            <xdr:cNvPr id="6235" name="Check Box 2139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18</xdr:row>
          <xdr:rowOff>9525</xdr:rowOff>
        </xdr:from>
        <xdr:to>
          <xdr:col>4</xdr:col>
          <xdr:colOff>371475</xdr:colOff>
          <xdr:row>18</xdr:row>
          <xdr:rowOff>276225</xdr:rowOff>
        </xdr:to>
        <xdr:sp macro="" textlink="">
          <xdr:nvSpPr>
            <xdr:cNvPr id="6236" name="Check Box 2140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0755-DD92-42B9-820A-F0CB8785B10E}">
  <sheetPr codeName="Sheet2">
    <tabColor rgb="FF00B050"/>
    <pageSetUpPr autoPageBreaks="0" fitToPage="1"/>
  </sheetPr>
  <dimension ref="A1:AY254"/>
  <sheetViews>
    <sheetView showGridLines="0" tabSelected="1" showOutlineSymbols="0" view="pageBreakPreview" topLeftCell="B2" zoomScale="60" zoomScaleNormal="85" workbookViewId="0">
      <selection activeCell="E13" sqref="E13"/>
    </sheetView>
  </sheetViews>
  <sheetFormatPr defaultRowHeight="13.5"/>
  <cols>
    <col min="1" max="1" width="78.875" style="1" hidden="1" customWidth="1"/>
    <col min="2" max="2" width="1.25" style="1" customWidth="1"/>
    <col min="3" max="3" width="6.125" style="1" customWidth="1"/>
    <col min="4" max="4" width="2.875" style="1" customWidth="1"/>
    <col min="5" max="5" width="6.75" style="1" customWidth="1"/>
    <col min="6" max="6" width="12.625" style="1" customWidth="1"/>
    <col min="7" max="11" width="16.375" style="1" customWidth="1"/>
    <col min="12" max="19" width="13" style="1" customWidth="1"/>
    <col min="20" max="20" width="11.25" style="1" customWidth="1"/>
    <col min="21" max="21" width="2.625" style="1" hidden="1" customWidth="1"/>
    <col min="22" max="22" width="11.25" style="1" hidden="1" customWidth="1"/>
    <col min="23" max="23" width="9.5" style="1" hidden="1" customWidth="1"/>
    <col min="24" max="24" width="9.875" style="1" hidden="1" customWidth="1"/>
    <col min="25" max="25" width="13.375" style="1" hidden="1" customWidth="1"/>
    <col min="26" max="26" width="11" style="1" hidden="1" customWidth="1"/>
    <col min="27" max="27" width="11.125" style="1" hidden="1" customWidth="1"/>
    <col min="28" max="28" width="11" style="1" hidden="1" customWidth="1"/>
    <col min="29" max="29" width="9.875" style="1" hidden="1" customWidth="1"/>
    <col min="30" max="31" width="9" style="1" hidden="1" customWidth="1"/>
    <col min="32" max="32" width="2.625" style="1" hidden="1" customWidth="1"/>
    <col min="33" max="33" width="3.5" style="1" hidden="1" customWidth="1"/>
    <col min="34" max="34" width="10.375" style="1" hidden="1" customWidth="1"/>
    <col min="35" max="35" width="9.25" style="1" hidden="1" customWidth="1"/>
    <col min="36" max="36" width="9.125" style="1" hidden="1" customWidth="1"/>
    <col min="37" max="37" width="9.25" style="1" hidden="1" customWidth="1"/>
    <col min="38" max="38" width="9" style="1" hidden="1" customWidth="1"/>
    <col min="39" max="39" width="9.25" style="1" hidden="1" customWidth="1"/>
    <col min="40" max="46" width="9" style="1" hidden="1" customWidth="1"/>
    <col min="47" max="47" width="1.125" style="1" customWidth="1"/>
    <col min="48" max="48" width="9" style="1" customWidth="1"/>
    <col min="49" max="49" width="9" style="1"/>
    <col min="50" max="50" width="6.375" style="1" customWidth="1"/>
    <col min="51" max="16384" width="9" style="1"/>
  </cols>
  <sheetData>
    <row r="1" spans="3:51" ht="28.5" hidden="1" customHeight="1">
      <c r="D1" s="143">
        <v>200000</v>
      </c>
      <c r="E1" s="143"/>
      <c r="K1" s="17"/>
    </row>
    <row r="2" spans="3:51" ht="52.5" customHeight="1"/>
    <row r="3" spans="3:51" ht="22.5" customHeight="1">
      <c r="C3" s="216" t="s">
        <v>59</v>
      </c>
      <c r="D3" s="216"/>
      <c r="E3" s="216"/>
      <c r="F3" s="216"/>
      <c r="G3" s="216"/>
      <c r="H3" s="216"/>
      <c r="I3" s="216"/>
      <c r="X3" s="84"/>
    </row>
    <row r="4" spans="3:51" ht="19.5" customHeight="1">
      <c r="C4" s="18" t="s">
        <v>83</v>
      </c>
      <c r="D4" s="18"/>
      <c r="E4" s="18"/>
    </row>
    <row r="5" spans="3:51" ht="19.5" customHeight="1">
      <c r="C5" s="167" t="s">
        <v>84</v>
      </c>
      <c r="D5" s="18"/>
      <c r="E5" s="18"/>
    </row>
    <row r="6" spans="3:51" ht="19.5" customHeight="1">
      <c r="C6" s="1" t="s">
        <v>73</v>
      </c>
      <c r="P6" s="1" t="s">
        <v>70</v>
      </c>
      <c r="Q6" s="146"/>
    </row>
    <row r="7" spans="3:51" ht="16.5" customHeight="1">
      <c r="C7" s="1" t="s">
        <v>81</v>
      </c>
      <c r="P7" s="83"/>
      <c r="Q7" s="83"/>
    </row>
    <row r="8" spans="3:51" ht="18.75" customHeight="1">
      <c r="C8" s="1" t="s">
        <v>76</v>
      </c>
      <c r="D8" s="19"/>
      <c r="E8" s="19"/>
      <c r="P8" s="217"/>
      <c r="Q8" s="217"/>
      <c r="Y8" s="82"/>
      <c r="Z8" s="82"/>
      <c r="AA8" s="82"/>
      <c r="AB8" s="82"/>
      <c r="AC8" s="82"/>
    </row>
    <row r="9" spans="3:51" ht="21.75" customHeight="1" thickBot="1">
      <c r="C9" s="1" t="s">
        <v>82</v>
      </c>
      <c r="R9" s="20"/>
      <c r="S9" s="20" t="s">
        <v>0</v>
      </c>
      <c r="Y9" s="82"/>
      <c r="Z9" s="82"/>
      <c r="AA9" s="82"/>
      <c r="AB9" s="82"/>
      <c r="AC9" s="82"/>
    </row>
    <row r="10" spans="3:51" ht="22.5" customHeight="1">
      <c r="C10" s="255"/>
      <c r="D10" s="256"/>
      <c r="E10" s="307" t="s">
        <v>77</v>
      </c>
      <c r="F10" s="218" t="s">
        <v>39</v>
      </c>
      <c r="G10" s="16"/>
      <c r="H10" s="16"/>
      <c r="I10" s="16"/>
      <c r="J10" s="218" t="s">
        <v>3</v>
      </c>
      <c r="K10" s="222" t="s">
        <v>7</v>
      </c>
      <c r="L10" s="249" t="s">
        <v>4</v>
      </c>
      <c r="M10" s="250"/>
      <c r="N10" s="251" t="s">
        <v>5</v>
      </c>
      <c r="O10" s="252"/>
      <c r="P10" s="253" t="s">
        <v>6</v>
      </c>
      <c r="Q10" s="254"/>
      <c r="R10" s="186" t="s">
        <v>79</v>
      </c>
      <c r="S10" s="187"/>
      <c r="T10" s="164"/>
      <c r="V10" s="21"/>
      <c r="W10" s="21"/>
      <c r="X10" s="21"/>
      <c r="Y10" s="80"/>
      <c r="Z10" s="80"/>
      <c r="AA10" s="81"/>
      <c r="AB10" s="80"/>
      <c r="AC10" s="82"/>
      <c r="AD10" s="22"/>
    </row>
    <row r="11" spans="3:51" ht="22.5" customHeight="1">
      <c r="C11" s="257"/>
      <c r="D11" s="258"/>
      <c r="E11" s="308"/>
      <c r="F11" s="219"/>
      <c r="G11" s="168" t="s">
        <v>10</v>
      </c>
      <c r="H11" s="23" t="s">
        <v>11</v>
      </c>
      <c r="I11" s="168" t="s">
        <v>12</v>
      </c>
      <c r="J11" s="220"/>
      <c r="K11" s="223"/>
      <c r="L11" s="10" t="s">
        <v>1</v>
      </c>
      <c r="M11" s="7" t="s">
        <v>2</v>
      </c>
      <c r="N11" s="12" t="s">
        <v>1</v>
      </c>
      <c r="O11" s="13" t="s">
        <v>2</v>
      </c>
      <c r="P11" s="11" t="s">
        <v>1</v>
      </c>
      <c r="Q11" s="8" t="s">
        <v>2</v>
      </c>
      <c r="R11" s="150" t="s">
        <v>72</v>
      </c>
      <c r="S11" s="158" t="s">
        <v>50</v>
      </c>
      <c r="T11" s="160"/>
      <c r="V11" s="304" t="s">
        <v>13</v>
      </c>
      <c r="W11" s="310" t="s">
        <v>68</v>
      </c>
      <c r="X11" s="304" t="s">
        <v>14</v>
      </c>
      <c r="Y11" s="284" t="s">
        <v>56</v>
      </c>
      <c r="Z11" s="208" t="s">
        <v>60</v>
      </c>
      <c r="AA11" s="207" t="s">
        <v>61</v>
      </c>
      <c r="AB11" s="305" t="s">
        <v>62</v>
      </c>
      <c r="AC11" s="207" t="s">
        <v>63</v>
      </c>
      <c r="AD11" s="82"/>
      <c r="AE11" s="22"/>
    </row>
    <row r="12" spans="3:51" ht="22.5" customHeight="1" thickBot="1">
      <c r="C12" s="257"/>
      <c r="D12" s="258"/>
      <c r="E12" s="309"/>
      <c r="F12" s="219"/>
      <c r="G12" s="23"/>
      <c r="H12" s="23"/>
      <c r="I12" s="23"/>
      <c r="J12" s="221"/>
      <c r="K12" s="224"/>
      <c r="L12" s="178">
        <f>I46</f>
        <v>44000</v>
      </c>
      <c r="M12" s="179">
        <f>J46</f>
        <v>7.4499999999999997E-2</v>
      </c>
      <c r="N12" s="180">
        <f>I47</f>
        <v>16000</v>
      </c>
      <c r="O12" s="181">
        <f>J47</f>
        <v>2.7799999999999998E-2</v>
      </c>
      <c r="P12" s="182">
        <f>I48</f>
        <v>17000</v>
      </c>
      <c r="Q12" s="183">
        <f>J48</f>
        <v>2.3599999999999999E-2</v>
      </c>
      <c r="R12" s="184">
        <f>I49</f>
        <v>1500</v>
      </c>
      <c r="S12" s="185">
        <f>J49</f>
        <v>2.7000000000000001E-3</v>
      </c>
      <c r="T12" s="161"/>
      <c r="V12" s="304"/>
      <c r="W12" s="311"/>
      <c r="X12" s="304"/>
      <c r="Y12" s="284"/>
      <c r="Z12" s="208"/>
      <c r="AA12" s="208"/>
      <c r="AB12" s="306"/>
      <c r="AC12" s="208"/>
      <c r="AD12" s="82"/>
      <c r="AE12" s="22"/>
      <c r="AX12" s="70"/>
    </row>
    <row r="13" spans="3:51" ht="22.5" customHeight="1" thickTop="1">
      <c r="C13" s="120" t="s">
        <v>35</v>
      </c>
      <c r="D13" s="121"/>
      <c r="E13" s="144"/>
      <c r="F13" s="122"/>
      <c r="G13" s="169">
        <v>0</v>
      </c>
      <c r="H13" s="170"/>
      <c r="I13" s="171"/>
      <c r="J13" s="9" t="str">
        <f>IF(F13="","",IFERROR(AA13+X13+I13,""))</f>
        <v/>
      </c>
      <c r="K13" s="99" t="str">
        <f>IF(OR($C31=FALSE,$J13="",$G$30=""),"",IF(J13&gt;$H$55,J13-$H$55,0))</f>
        <v/>
      </c>
      <c r="L13" s="133" t="str">
        <f>IF($K13="","",$L$12)</f>
        <v/>
      </c>
      <c r="M13" s="134" t="str">
        <f t="shared" ref="M13:M19" si="0">IF(K13="","",ROUNDDOWN(K13*$M$12,0))</f>
        <v/>
      </c>
      <c r="N13" s="135" t="str">
        <f>IF($K13="","",$N$12)</f>
        <v/>
      </c>
      <c r="O13" s="136" t="str">
        <f>IF(K13="","",ROUNDDOWN(K13*$O$12,0))</f>
        <v/>
      </c>
      <c r="P13" s="137" t="str">
        <f t="shared" ref="P13:P19" si="1">IF(K13="","",IF(F13="40歳～64歳",$P$12,""))</f>
        <v/>
      </c>
      <c r="Q13" s="138" t="str">
        <f t="shared" ref="Q13:Q19" si="2">IF(K13="","",IF(F13="40歳～64歳",ROUNDDOWN(K13*$Q$12,0),""))</f>
        <v/>
      </c>
      <c r="R13" s="154" t="str">
        <f t="shared" ref="R13:R19" si="3">IF(K13="","",IF(F13="18歳～39歳",$R$12,IF(F13="40歳～64歳",$R$12,IF(F13="*65歳～74歳*",$R$12,IF(F13="65歳～74歳",$R$12,IF(F13="75歳以上",$R$12,""))))))</f>
        <v/>
      </c>
      <c r="S13" s="159" t="str">
        <f>IF(K13="","",ROUNDDOWN(K13*$S$12,0))</f>
        <v/>
      </c>
      <c r="T13" s="162"/>
      <c r="U13" s="24"/>
      <c r="V13" s="38">
        <f>IFERROR($AM34,"0")</f>
        <v>0</v>
      </c>
      <c r="W13" s="38">
        <f>IF(E31=TRUE,ROUNDDOWN(V13*0.3,0),V13)</f>
        <v>0</v>
      </c>
      <c r="X13" s="38">
        <f>X56</f>
        <v>0</v>
      </c>
      <c r="Y13" s="48">
        <f>W13+I13</f>
        <v>0</v>
      </c>
      <c r="Z13" s="127">
        <f t="shared" ref="Z13:Z19" si="4">MAX(IF(V13&gt;100000,100000,V13)+IF(X13&gt;100000,100000,X13)-100000,0)</f>
        <v>0</v>
      </c>
      <c r="AA13" s="127">
        <f>MAX(W13-Z13,0)</f>
        <v>0</v>
      </c>
      <c r="AB13" s="128">
        <f t="shared" ref="AB13:AB19" si="5">MAX(IF(V13&gt;100000,100000,V13)+MAX(IF(X13-150000&gt;100000,100000,X13-150000),0)-100000,0)</f>
        <v>0</v>
      </c>
      <c r="AC13" s="127">
        <f>MAX(W13-AB13,0)</f>
        <v>0</v>
      </c>
      <c r="AD13" s="82"/>
      <c r="AE13" s="22"/>
      <c r="AY13" s="70"/>
    </row>
    <row r="14" spans="3:51" ht="22.5" customHeight="1">
      <c r="C14" s="123" t="s">
        <v>36</v>
      </c>
      <c r="D14" s="71"/>
      <c r="E14" s="71"/>
      <c r="F14" s="69"/>
      <c r="G14" s="175"/>
      <c r="H14" s="176"/>
      <c r="I14" s="177"/>
      <c r="J14" s="9" t="str">
        <f t="shared" ref="J14:J19" si="6">IF($G32=0,"",IFERROR(AA14+X14+I14,""))</f>
        <v/>
      </c>
      <c r="K14" s="100" t="str">
        <f t="shared" ref="K14:K19" si="7">IF(OR($J14="",$F$13="",$G$30=""),"",IF(J14&gt;$H$55,J14-$H$55,0))</f>
        <v/>
      </c>
      <c r="L14" s="133" t="str">
        <f t="shared" ref="L14:L19" si="8">IF(K14="","",IF(F14="未就学児",$L$12*0.5,$L$12))</f>
        <v/>
      </c>
      <c r="M14" s="134" t="str">
        <f t="shared" si="0"/>
        <v/>
      </c>
      <c r="N14" s="135" t="str">
        <f t="shared" ref="N14:N19" si="9">IF(K14="","",IF(F14="未就学児",$N$12*0.5,$N$12))</f>
        <v/>
      </c>
      <c r="O14" s="136" t="str">
        <f t="shared" ref="O14:O19" si="10">IF(K14="","",ROUNDDOWN(K14*$O$12,0))</f>
        <v/>
      </c>
      <c r="P14" s="137" t="str">
        <f t="shared" si="1"/>
        <v/>
      </c>
      <c r="Q14" s="138" t="str">
        <f t="shared" si="2"/>
        <v/>
      </c>
      <c r="R14" s="154" t="str">
        <f t="shared" si="3"/>
        <v/>
      </c>
      <c r="S14" s="159" t="str">
        <f t="shared" ref="S14:S19" si="11">IF(K14="","",ROUNDDOWN(K14*$S$12,0))</f>
        <v/>
      </c>
      <c r="T14" s="163"/>
      <c r="U14" s="24"/>
      <c r="V14" s="38">
        <f>IFERROR($AM46,"0")</f>
        <v>0</v>
      </c>
      <c r="W14" s="38">
        <f t="shared" ref="W14:W19" si="12">IF(E32=TRUE,ROUNDDOWN(V14*0.3,0),V14)</f>
        <v>0</v>
      </c>
      <c r="X14" s="38">
        <f>X89</f>
        <v>0</v>
      </c>
      <c r="Y14" s="48">
        <f t="shared" ref="Y14:Y19" si="13">W14+I14</f>
        <v>0</v>
      </c>
      <c r="Z14" s="127">
        <f t="shared" si="4"/>
        <v>0</v>
      </c>
      <c r="AA14" s="127">
        <f t="shared" ref="AA14:AA19" si="14">MAX(W14-Z14,0)</f>
        <v>0</v>
      </c>
      <c r="AB14" s="128">
        <f t="shared" si="5"/>
        <v>0</v>
      </c>
      <c r="AC14" s="127">
        <f t="shared" ref="AC14:AC19" si="15">MAX(W14-AB14,0)</f>
        <v>0</v>
      </c>
      <c r="AD14" s="82"/>
      <c r="AE14" s="22"/>
    </row>
    <row r="15" spans="3:51" ht="22.5" customHeight="1">
      <c r="C15" s="123" t="s">
        <v>37</v>
      </c>
      <c r="D15" s="71"/>
      <c r="E15" s="71"/>
      <c r="F15" s="69"/>
      <c r="G15" s="175"/>
      <c r="H15" s="176"/>
      <c r="I15" s="177"/>
      <c r="J15" s="9" t="str">
        <f t="shared" si="6"/>
        <v/>
      </c>
      <c r="K15" s="100" t="str">
        <f t="shared" si="7"/>
        <v/>
      </c>
      <c r="L15" s="133" t="str">
        <f t="shared" si="8"/>
        <v/>
      </c>
      <c r="M15" s="134" t="str">
        <f t="shared" si="0"/>
        <v/>
      </c>
      <c r="N15" s="135" t="str">
        <f t="shared" si="9"/>
        <v/>
      </c>
      <c r="O15" s="136" t="str">
        <f t="shared" si="10"/>
        <v/>
      </c>
      <c r="P15" s="137" t="str">
        <f t="shared" si="1"/>
        <v/>
      </c>
      <c r="Q15" s="138" t="str">
        <f t="shared" si="2"/>
        <v/>
      </c>
      <c r="R15" s="154" t="str">
        <f t="shared" si="3"/>
        <v/>
      </c>
      <c r="S15" s="159" t="str">
        <f t="shared" si="11"/>
        <v/>
      </c>
      <c r="T15" s="163"/>
      <c r="U15" s="24"/>
      <c r="V15" s="38">
        <f>IFERROR($AM58,"0")</f>
        <v>0</v>
      </c>
      <c r="W15" s="38">
        <f t="shared" si="12"/>
        <v>0</v>
      </c>
      <c r="X15" s="38">
        <f>X122</f>
        <v>0</v>
      </c>
      <c r="Y15" s="48">
        <f t="shared" si="13"/>
        <v>0</v>
      </c>
      <c r="Z15" s="127">
        <f t="shared" si="4"/>
        <v>0</v>
      </c>
      <c r="AA15" s="127">
        <f t="shared" si="14"/>
        <v>0</v>
      </c>
      <c r="AB15" s="128">
        <f t="shared" si="5"/>
        <v>0</v>
      </c>
      <c r="AC15" s="127">
        <f t="shared" si="15"/>
        <v>0</v>
      </c>
      <c r="AD15" s="82"/>
      <c r="AE15" s="22"/>
    </row>
    <row r="16" spans="3:51" ht="22.5" customHeight="1">
      <c r="C16" s="123" t="s">
        <v>37</v>
      </c>
      <c r="D16" s="71"/>
      <c r="E16" s="71"/>
      <c r="F16" s="69"/>
      <c r="G16" s="175"/>
      <c r="H16" s="176"/>
      <c r="I16" s="177"/>
      <c r="J16" s="9" t="str">
        <f t="shared" si="6"/>
        <v/>
      </c>
      <c r="K16" s="100" t="str">
        <f t="shared" si="7"/>
        <v/>
      </c>
      <c r="L16" s="133" t="str">
        <f t="shared" si="8"/>
        <v/>
      </c>
      <c r="M16" s="134" t="str">
        <f t="shared" si="0"/>
        <v/>
      </c>
      <c r="N16" s="135" t="str">
        <f t="shared" si="9"/>
        <v/>
      </c>
      <c r="O16" s="136" t="str">
        <f t="shared" si="10"/>
        <v/>
      </c>
      <c r="P16" s="137" t="str">
        <f t="shared" si="1"/>
        <v/>
      </c>
      <c r="Q16" s="138" t="str">
        <f t="shared" si="2"/>
        <v/>
      </c>
      <c r="R16" s="154" t="str">
        <f t="shared" si="3"/>
        <v/>
      </c>
      <c r="S16" s="159" t="str">
        <f t="shared" si="11"/>
        <v/>
      </c>
      <c r="T16" s="163"/>
      <c r="U16" s="24"/>
      <c r="V16" s="38">
        <f>IFERROR($AM70,"0")</f>
        <v>0</v>
      </c>
      <c r="W16" s="38">
        <f t="shared" si="12"/>
        <v>0</v>
      </c>
      <c r="X16" s="38">
        <f>X155</f>
        <v>0</v>
      </c>
      <c r="Y16" s="48">
        <f t="shared" si="13"/>
        <v>0</v>
      </c>
      <c r="Z16" s="127">
        <f t="shared" si="4"/>
        <v>0</v>
      </c>
      <c r="AA16" s="127">
        <f t="shared" si="14"/>
        <v>0</v>
      </c>
      <c r="AB16" s="128">
        <f t="shared" si="5"/>
        <v>0</v>
      </c>
      <c r="AC16" s="127">
        <f t="shared" si="15"/>
        <v>0</v>
      </c>
      <c r="AD16" s="82"/>
      <c r="AE16" s="22"/>
    </row>
    <row r="17" spans="1:51" ht="22.5" customHeight="1">
      <c r="C17" s="123" t="s">
        <v>37</v>
      </c>
      <c r="D17" s="71"/>
      <c r="E17" s="71"/>
      <c r="F17" s="69"/>
      <c r="G17" s="175"/>
      <c r="H17" s="176"/>
      <c r="I17" s="177"/>
      <c r="J17" s="9" t="str">
        <f t="shared" si="6"/>
        <v/>
      </c>
      <c r="K17" s="100" t="str">
        <f t="shared" si="7"/>
        <v/>
      </c>
      <c r="L17" s="133" t="str">
        <f t="shared" si="8"/>
        <v/>
      </c>
      <c r="M17" s="134" t="str">
        <f t="shared" si="0"/>
        <v/>
      </c>
      <c r="N17" s="135" t="str">
        <f t="shared" si="9"/>
        <v/>
      </c>
      <c r="O17" s="136" t="str">
        <f t="shared" si="10"/>
        <v/>
      </c>
      <c r="P17" s="137" t="str">
        <f t="shared" si="1"/>
        <v/>
      </c>
      <c r="Q17" s="138" t="str">
        <f t="shared" si="2"/>
        <v/>
      </c>
      <c r="R17" s="154" t="str">
        <f t="shared" si="3"/>
        <v/>
      </c>
      <c r="S17" s="159" t="str">
        <f t="shared" si="11"/>
        <v/>
      </c>
      <c r="T17" s="163"/>
      <c r="U17" s="24"/>
      <c r="V17" s="38">
        <f>IFERROR($AM82,"0")</f>
        <v>0</v>
      </c>
      <c r="W17" s="38">
        <f t="shared" si="12"/>
        <v>0</v>
      </c>
      <c r="X17" s="38">
        <f>X188</f>
        <v>0</v>
      </c>
      <c r="Y17" s="48">
        <f t="shared" si="13"/>
        <v>0</v>
      </c>
      <c r="Z17" s="127">
        <f t="shared" si="4"/>
        <v>0</v>
      </c>
      <c r="AA17" s="127">
        <f t="shared" si="14"/>
        <v>0</v>
      </c>
      <c r="AB17" s="128">
        <f t="shared" si="5"/>
        <v>0</v>
      </c>
      <c r="AC17" s="127">
        <f t="shared" si="15"/>
        <v>0</v>
      </c>
      <c r="AD17" s="82"/>
    </row>
    <row r="18" spans="1:51" ht="22.5" customHeight="1">
      <c r="C18" s="123" t="s">
        <v>37</v>
      </c>
      <c r="D18" s="71"/>
      <c r="E18" s="71"/>
      <c r="F18" s="69"/>
      <c r="G18" s="175"/>
      <c r="H18" s="176"/>
      <c r="I18" s="177"/>
      <c r="J18" s="9" t="str">
        <f t="shared" si="6"/>
        <v/>
      </c>
      <c r="K18" s="100" t="str">
        <f t="shared" si="7"/>
        <v/>
      </c>
      <c r="L18" s="133" t="str">
        <f t="shared" si="8"/>
        <v/>
      </c>
      <c r="M18" s="134" t="str">
        <f t="shared" si="0"/>
        <v/>
      </c>
      <c r="N18" s="135" t="str">
        <f t="shared" si="9"/>
        <v/>
      </c>
      <c r="O18" s="136" t="str">
        <f t="shared" si="10"/>
        <v/>
      </c>
      <c r="P18" s="137" t="str">
        <f t="shared" si="1"/>
        <v/>
      </c>
      <c r="Q18" s="138" t="str">
        <f t="shared" si="2"/>
        <v/>
      </c>
      <c r="R18" s="154" t="str">
        <f t="shared" si="3"/>
        <v/>
      </c>
      <c r="S18" s="159" t="str">
        <f t="shared" si="11"/>
        <v/>
      </c>
      <c r="T18" s="163"/>
      <c r="U18" s="24"/>
      <c r="V18" s="38">
        <f>IFERROR($AM94,"0")</f>
        <v>0</v>
      </c>
      <c r="W18" s="38">
        <f t="shared" si="12"/>
        <v>0</v>
      </c>
      <c r="X18" s="38">
        <f>X221</f>
        <v>0</v>
      </c>
      <c r="Y18" s="48">
        <f t="shared" si="13"/>
        <v>0</v>
      </c>
      <c r="Z18" s="127">
        <f t="shared" si="4"/>
        <v>0</v>
      </c>
      <c r="AA18" s="127">
        <f t="shared" si="14"/>
        <v>0</v>
      </c>
      <c r="AB18" s="128">
        <f t="shared" si="5"/>
        <v>0</v>
      </c>
      <c r="AC18" s="127">
        <f t="shared" si="15"/>
        <v>0</v>
      </c>
      <c r="AD18" s="82"/>
    </row>
    <row r="19" spans="1:51" ht="22.5" customHeight="1" thickBot="1">
      <c r="C19" s="124" t="s">
        <v>37</v>
      </c>
      <c r="D19" s="125"/>
      <c r="E19" s="125"/>
      <c r="F19" s="126"/>
      <c r="G19" s="172"/>
      <c r="H19" s="173"/>
      <c r="I19" s="174"/>
      <c r="J19" s="119" t="str">
        <f t="shared" si="6"/>
        <v/>
      </c>
      <c r="K19" s="102" t="str">
        <f t="shared" si="7"/>
        <v/>
      </c>
      <c r="L19" s="133" t="str">
        <f t="shared" si="8"/>
        <v/>
      </c>
      <c r="M19" s="134" t="str">
        <f t="shared" si="0"/>
        <v/>
      </c>
      <c r="N19" s="135" t="str">
        <f t="shared" si="9"/>
        <v/>
      </c>
      <c r="O19" s="139" t="str">
        <f t="shared" si="10"/>
        <v/>
      </c>
      <c r="P19" s="140" t="str">
        <f t="shared" si="1"/>
        <v/>
      </c>
      <c r="Q19" s="141" t="str">
        <f t="shared" si="2"/>
        <v/>
      </c>
      <c r="R19" s="154" t="str">
        <f t="shared" si="3"/>
        <v/>
      </c>
      <c r="S19" s="159" t="str">
        <f t="shared" si="11"/>
        <v/>
      </c>
      <c r="T19" s="163"/>
      <c r="U19" s="24"/>
      <c r="V19" s="38">
        <f>IFERROR($AM106,"0")</f>
        <v>0</v>
      </c>
      <c r="W19" s="38">
        <f t="shared" si="12"/>
        <v>0</v>
      </c>
      <c r="X19" s="38">
        <f>X254</f>
        <v>0</v>
      </c>
      <c r="Y19" s="48">
        <f t="shared" si="13"/>
        <v>0</v>
      </c>
      <c r="Z19" s="127">
        <f t="shared" si="4"/>
        <v>0</v>
      </c>
      <c r="AA19" s="127">
        <f t="shared" si="14"/>
        <v>0</v>
      </c>
      <c r="AB19" s="128">
        <f t="shared" si="5"/>
        <v>0</v>
      </c>
      <c r="AC19" s="127">
        <f t="shared" si="15"/>
        <v>0</v>
      </c>
      <c r="AD19" s="82"/>
      <c r="AY19" s="25"/>
    </row>
    <row r="20" spans="1:51" ht="30" customHeight="1" thickTop="1">
      <c r="C20" s="259"/>
      <c r="D20" s="259"/>
      <c r="E20" s="259"/>
      <c r="F20" s="259"/>
      <c r="G20" s="259"/>
      <c r="H20" s="259"/>
      <c r="I20" s="259"/>
      <c r="J20" s="259"/>
      <c r="K20" s="259"/>
      <c r="L20" s="323">
        <f>SUM(L13:M19)</f>
        <v>0</v>
      </c>
      <c r="M20" s="324"/>
      <c r="N20" s="280">
        <f>SUM(N13:O19)</f>
        <v>0</v>
      </c>
      <c r="O20" s="281"/>
      <c r="P20" s="282">
        <f>SUM(P13:Q19)</f>
        <v>0</v>
      </c>
      <c r="Q20" s="283"/>
      <c r="R20" s="188">
        <f>SUM(R13:S19)</f>
        <v>0</v>
      </c>
      <c r="S20" s="189"/>
      <c r="T20" s="165"/>
      <c r="U20" s="24"/>
      <c r="V20" s="21"/>
      <c r="W20" s="21"/>
      <c r="X20" s="21"/>
      <c r="Y20" s="80"/>
      <c r="Z20" s="80"/>
      <c r="AA20" s="81"/>
      <c r="AB20" s="80"/>
      <c r="AC20" s="82"/>
    </row>
    <row r="21" spans="1:51" ht="26.25" customHeight="1">
      <c r="C21" s="260"/>
      <c r="D21" s="260"/>
      <c r="E21" s="260"/>
      <c r="F21" s="261"/>
      <c r="G21" s="261"/>
      <c r="H21" s="261"/>
      <c r="I21" s="262"/>
      <c r="J21" s="263" t="s">
        <v>15</v>
      </c>
      <c r="K21" s="264"/>
      <c r="L21" s="265">
        <f>K$42-SUM(L13:L19)</f>
        <v>0</v>
      </c>
      <c r="M21" s="266"/>
      <c r="N21" s="267">
        <f>M$42-SUM(N13:N19)</f>
        <v>0</v>
      </c>
      <c r="O21" s="268"/>
      <c r="P21" s="269">
        <f>O$42-SUM(P13:P19)</f>
        <v>0</v>
      </c>
      <c r="Q21" s="270"/>
      <c r="R21" s="190">
        <f>Q$42-SUM(R13:R19)</f>
        <v>0</v>
      </c>
      <c r="S21" s="191"/>
      <c r="T21" s="165"/>
      <c r="V21" s="21"/>
      <c r="W21" s="21"/>
      <c r="X21" s="21"/>
      <c r="Y21" s="80"/>
      <c r="Z21" s="80"/>
      <c r="AA21" s="81"/>
      <c r="AB21" s="80"/>
      <c r="AC21" s="82"/>
    </row>
    <row r="22" spans="1:51" ht="30" customHeight="1" thickBot="1">
      <c r="C22" s="241" t="s">
        <v>17</v>
      </c>
      <c r="D22" s="241"/>
      <c r="E22" s="241"/>
      <c r="F22" s="241"/>
      <c r="G22" s="241"/>
      <c r="H22" s="241"/>
      <c r="I22" s="242"/>
      <c r="J22" s="243" t="s">
        <v>16</v>
      </c>
      <c r="K22" s="244"/>
      <c r="L22" s="245">
        <f>IF(SUM(L20:M21)&gt;H46,H46,ROUNDDOWN(SUM(L20:M21),-2))</f>
        <v>0</v>
      </c>
      <c r="M22" s="246"/>
      <c r="N22" s="247">
        <f>IF(SUM(N20:O21)&gt;H47,H47,ROUNDDOWN(SUM(N20:O21),-2))</f>
        <v>0</v>
      </c>
      <c r="O22" s="248"/>
      <c r="P22" s="321">
        <f>IF(SUM(P20:Q21)&gt;H48,H48,ROUNDDOWN(SUM(P20:Q21),-2))</f>
        <v>0</v>
      </c>
      <c r="Q22" s="322"/>
      <c r="R22" s="192">
        <f>IF(SUM(R20:S21)&gt;H49,H49,ROUNDDOWN(SUM(R20:S21),-2))</f>
        <v>0</v>
      </c>
      <c r="S22" s="193"/>
      <c r="T22" s="165"/>
      <c r="V22" s="21"/>
      <c r="W22" s="21"/>
      <c r="X22" s="21"/>
      <c r="Y22" s="80"/>
      <c r="Z22" s="80"/>
      <c r="AA22" s="81"/>
      <c r="AB22" s="80"/>
      <c r="AC22" s="82"/>
    </row>
    <row r="23" spans="1:51" ht="20.25" customHeight="1" thickBot="1">
      <c r="C23" s="275" t="s">
        <v>78</v>
      </c>
      <c r="D23" s="275"/>
      <c r="E23" s="275"/>
      <c r="F23" s="275"/>
      <c r="G23" s="275"/>
      <c r="H23" s="275"/>
      <c r="I23" s="275"/>
      <c r="J23" s="276" t="s">
        <v>18</v>
      </c>
      <c r="K23" s="277"/>
      <c r="L23" s="278" t="str">
        <f>LEFT(H46,2)&amp;"万円"</f>
        <v>66万円</v>
      </c>
      <c r="M23" s="279"/>
      <c r="N23" s="273" t="str">
        <f>LEFT(H47,2)&amp;"万円"</f>
        <v>26万円</v>
      </c>
      <c r="O23" s="274"/>
      <c r="P23" s="273" t="str">
        <f>LEFT(H48,2)&amp;"万円"</f>
        <v>17万円</v>
      </c>
      <c r="Q23" s="274"/>
      <c r="R23" s="194" t="str">
        <f>LEFT(H49,1)&amp;"万円"</f>
        <v>3万円</v>
      </c>
      <c r="S23" s="195"/>
      <c r="T23" s="166"/>
      <c r="V23" s="27" t="s">
        <v>52</v>
      </c>
      <c r="AD23" s="22"/>
      <c r="AE23" s="18"/>
      <c r="AF23" s="18"/>
      <c r="AG23" s="271" t="s">
        <v>19</v>
      </c>
      <c r="AH23" s="272"/>
      <c r="AI23" s="18"/>
      <c r="AJ23" s="18"/>
      <c r="AK23" s="18"/>
      <c r="AL23" s="18"/>
      <c r="AM23" s="18"/>
    </row>
    <row r="24" spans="1:51" ht="15.75" customHeight="1" thickBot="1">
      <c r="C24" s="275"/>
      <c r="D24" s="275"/>
      <c r="E24" s="275"/>
      <c r="F24" s="275"/>
      <c r="G24" s="275"/>
      <c r="H24" s="275"/>
      <c r="I24" s="275"/>
      <c r="J24" s="5"/>
      <c r="K24" s="5"/>
      <c r="L24" s="6"/>
      <c r="M24" s="14"/>
      <c r="N24" s="15"/>
      <c r="O24" s="15"/>
      <c r="P24" s="15"/>
      <c r="Q24" s="15"/>
      <c r="R24" s="2"/>
      <c r="S24" s="2"/>
      <c r="U24" s="27">
        <v>1</v>
      </c>
      <c r="V24" s="28" t="s">
        <v>20</v>
      </c>
      <c r="W24" s="29"/>
      <c r="X24" s="29"/>
      <c r="Y24" s="110">
        <v>10000000</v>
      </c>
      <c r="Z24" s="106" t="s">
        <v>53</v>
      </c>
      <c r="AA24" s="29"/>
      <c r="AB24" s="29" t="s">
        <v>21</v>
      </c>
      <c r="AC24" s="30"/>
      <c r="AD24" s="31"/>
      <c r="AF24" s="32">
        <v>1</v>
      </c>
      <c r="AG24" s="33">
        <v>1</v>
      </c>
      <c r="AH24" s="34">
        <v>651000</v>
      </c>
      <c r="AI24" s="240">
        <v>0</v>
      </c>
      <c r="AJ24" s="240"/>
      <c r="AK24" s="35"/>
      <c r="AL24" s="35"/>
      <c r="AM24" s="36"/>
      <c r="AW24" s="26"/>
    </row>
    <row r="25" spans="1:51" ht="35.25" customHeight="1" thickTop="1" thickBot="1">
      <c r="C25" s="229" t="s">
        <v>9</v>
      </c>
      <c r="D25" s="229"/>
      <c r="E25" s="229"/>
      <c r="F25" s="229"/>
      <c r="G25" s="229"/>
      <c r="H25" s="229"/>
      <c r="K25" s="230" t="s">
        <v>69</v>
      </c>
      <c r="L25" s="231"/>
      <c r="N25" s="232" t="s">
        <v>75</v>
      </c>
      <c r="O25" s="233"/>
      <c r="P25" s="234">
        <f>+L22+N22+P22+R22</f>
        <v>0</v>
      </c>
      <c r="Q25" s="234"/>
      <c r="R25" s="4"/>
      <c r="S25" s="4"/>
      <c r="V25" s="37">
        <v>1</v>
      </c>
      <c r="W25" s="38">
        <v>0</v>
      </c>
      <c r="X25" s="39">
        <v>600001</v>
      </c>
      <c r="Y25" s="31"/>
      <c r="Z25" s="31"/>
      <c r="AA25" s="38">
        <v>1</v>
      </c>
      <c r="AB25" s="38">
        <v>0</v>
      </c>
      <c r="AC25" s="40">
        <v>1100001</v>
      </c>
      <c r="AD25" s="41"/>
      <c r="AE25" s="18"/>
      <c r="AF25" s="18"/>
      <c r="AG25" s="42">
        <v>2</v>
      </c>
      <c r="AH25" s="43">
        <v>1900000</v>
      </c>
      <c r="AI25" s="285">
        <f>$G$13-650000</f>
        <v>-650000</v>
      </c>
      <c r="AJ25" s="286"/>
      <c r="AK25" s="44"/>
      <c r="AL25" s="44"/>
      <c r="AM25" s="45"/>
      <c r="AN25" s="18"/>
    </row>
    <row r="26" spans="1:51" ht="23.25" customHeight="1" thickTop="1" thickBot="1">
      <c r="C26" s="202" t="s">
        <v>22</v>
      </c>
      <c r="D26" s="202"/>
      <c r="E26" s="202"/>
      <c r="F26" s="202"/>
      <c r="G26" s="202"/>
      <c r="H26" s="202"/>
      <c r="I26" s="25"/>
      <c r="J26" s="25"/>
      <c r="K26" s="203" t="str">
        <f>IF(P25=0,"",$Q$38)</f>
        <v/>
      </c>
      <c r="L26" s="204"/>
      <c r="N26" s="225" t="s">
        <v>8</v>
      </c>
      <c r="O26" s="226"/>
      <c r="P26" s="227">
        <f>P25/12</f>
        <v>0</v>
      </c>
      <c r="Q26" s="228"/>
      <c r="R26" s="3"/>
      <c r="S26" s="3"/>
      <c r="V26" s="37">
        <v>2</v>
      </c>
      <c r="W26" s="48">
        <f>+H13-600000</f>
        <v>-600000</v>
      </c>
      <c r="X26" s="39">
        <v>1300000</v>
      </c>
      <c r="Y26" s="31"/>
      <c r="Z26" s="31"/>
      <c r="AA26" s="38">
        <v>2</v>
      </c>
      <c r="AB26" s="48">
        <f>+H13-1100000</f>
        <v>-1100000</v>
      </c>
      <c r="AC26" s="40">
        <v>3300000</v>
      </c>
      <c r="AD26" s="41"/>
      <c r="AE26" s="18"/>
      <c r="AF26" s="18"/>
      <c r="AG26" s="42">
        <v>3</v>
      </c>
      <c r="AH26" s="43">
        <v>3600000</v>
      </c>
      <c r="AI26" s="285">
        <f>ROUNDDOWN($G$13/4,-3)*2.8-80000</f>
        <v>-80000</v>
      </c>
      <c r="AJ26" s="286"/>
      <c r="AK26" s="44"/>
      <c r="AL26" s="44"/>
      <c r="AM26" s="45"/>
      <c r="AN26" s="18"/>
    </row>
    <row r="27" spans="1:51" ht="16.5" customHeight="1" thickBot="1">
      <c r="A27" s="26"/>
      <c r="C27" s="25"/>
      <c r="D27" s="25"/>
      <c r="E27" s="25"/>
      <c r="F27" s="25"/>
      <c r="G27" s="25"/>
      <c r="H27" s="25"/>
      <c r="I27" s="25"/>
      <c r="J27" s="25"/>
      <c r="K27" s="46"/>
      <c r="L27" s="46"/>
      <c r="N27" s="287" t="s">
        <v>38</v>
      </c>
      <c r="O27" s="288"/>
      <c r="P27" s="289" t="str">
        <f>IF(F13="","",G38)</f>
        <v/>
      </c>
      <c r="Q27" s="290"/>
      <c r="R27" s="3"/>
      <c r="S27" s="3"/>
      <c r="V27" s="37">
        <v>3</v>
      </c>
      <c r="W27" s="38">
        <f>+H13*0.75-275000</f>
        <v>-275000</v>
      </c>
      <c r="X27" s="39">
        <v>4100000</v>
      </c>
      <c r="Y27" s="31"/>
      <c r="Z27" s="31"/>
      <c r="AA27" s="38">
        <v>3</v>
      </c>
      <c r="AB27" s="38">
        <f>+H13*0.75-275000</f>
        <v>-275000</v>
      </c>
      <c r="AC27" s="40">
        <v>4100000</v>
      </c>
      <c r="AD27" s="41"/>
      <c r="AE27" s="18"/>
      <c r="AF27" s="18"/>
      <c r="AG27" s="42">
        <v>4</v>
      </c>
      <c r="AH27" s="43">
        <v>6600000</v>
      </c>
      <c r="AI27" s="285">
        <f>ROUNDDOWN($G$13/4,-3)*3.2-440000</f>
        <v>-440000</v>
      </c>
      <c r="AJ27" s="286"/>
      <c r="AK27" s="44"/>
      <c r="AL27" s="44"/>
      <c r="AM27" s="45"/>
      <c r="AN27" s="18"/>
    </row>
    <row r="28" spans="1:51" ht="42" hidden="1" customHeight="1">
      <c r="P28" s="1" t="s">
        <v>23</v>
      </c>
      <c r="V28" s="37">
        <v>4</v>
      </c>
      <c r="W28" s="38">
        <f>+H13*0.85-685000</f>
        <v>-685000</v>
      </c>
      <c r="X28" s="39">
        <v>7700000</v>
      </c>
      <c r="Y28" s="31"/>
      <c r="Z28" s="31"/>
      <c r="AA28" s="38">
        <v>4</v>
      </c>
      <c r="AB28" s="38">
        <f>+H13*0.85-685000</f>
        <v>-685000</v>
      </c>
      <c r="AC28" s="40">
        <v>7700000</v>
      </c>
      <c r="AD28" s="41"/>
      <c r="AE28" s="18"/>
      <c r="AF28" s="18"/>
      <c r="AG28" s="42">
        <v>5</v>
      </c>
      <c r="AH28" s="43">
        <v>8500000</v>
      </c>
      <c r="AI28" s="285">
        <f>$G$13*0.9-1100000</f>
        <v>-1100000</v>
      </c>
      <c r="AJ28" s="286"/>
      <c r="AK28" s="44"/>
      <c r="AL28" s="44"/>
      <c r="AM28" s="45"/>
      <c r="AN28" s="18"/>
    </row>
    <row r="29" spans="1:51" ht="42" hidden="1" customHeight="1" thickBot="1">
      <c r="A29" s="145" t="s">
        <v>24</v>
      </c>
      <c r="N29" s="291"/>
      <c r="O29" s="291"/>
      <c r="P29" s="291"/>
      <c r="Q29" s="291"/>
      <c r="V29" s="37">
        <v>5</v>
      </c>
      <c r="W29" s="38">
        <f>+H13*0.95-1455000</f>
        <v>-1455000</v>
      </c>
      <c r="X29" s="39">
        <v>10000000</v>
      </c>
      <c r="Y29" s="31"/>
      <c r="Z29" s="31"/>
      <c r="AA29" s="38">
        <v>5</v>
      </c>
      <c r="AB29" s="38">
        <f>+H13*0.95-1455000</f>
        <v>-1455000</v>
      </c>
      <c r="AC29" s="40">
        <v>10000000</v>
      </c>
      <c r="AD29" s="41"/>
      <c r="AE29" s="18"/>
      <c r="AF29" s="18"/>
      <c r="AG29" s="42">
        <v>6</v>
      </c>
      <c r="AH29" s="43">
        <v>1000000000000</v>
      </c>
      <c r="AI29" s="285">
        <f>$G$13-1950000</f>
        <v>-1950000</v>
      </c>
      <c r="AJ29" s="286"/>
      <c r="AK29" s="44"/>
      <c r="AL29" s="44"/>
      <c r="AM29" s="45"/>
      <c r="AN29" s="18"/>
    </row>
    <row r="30" spans="1:51" ht="42" hidden="1" customHeight="1" thickBot="1">
      <c r="A30" s="145" t="s">
        <v>25</v>
      </c>
      <c r="F30" s="79" t="str">
        <f>IF(F13="75歳以上",TRUE,"")</f>
        <v/>
      </c>
      <c r="G30" s="79" t="b">
        <f>IF(AND(C31=TRUE,F30=TRUE),"",TRUE)</f>
        <v>1</v>
      </c>
      <c r="H30" s="18"/>
      <c r="I30" s="312" t="s">
        <v>31</v>
      </c>
      <c r="J30" s="313"/>
      <c r="K30" s="312" t="s">
        <v>32</v>
      </c>
      <c r="L30" s="317" t="s">
        <v>64</v>
      </c>
      <c r="M30" s="317" t="s">
        <v>65</v>
      </c>
      <c r="N30" s="319" t="s">
        <v>66</v>
      </c>
      <c r="V30" s="37">
        <v>6</v>
      </c>
      <c r="W30" s="48">
        <f>+H13-1955000</f>
        <v>-1955000</v>
      </c>
      <c r="X30" s="39"/>
      <c r="Y30" s="31"/>
      <c r="Z30" s="31"/>
      <c r="AA30" s="38">
        <v>6</v>
      </c>
      <c r="AB30" s="48">
        <f>+H13-1955000</f>
        <v>-1955000</v>
      </c>
      <c r="AC30" s="40"/>
      <c r="AD30" s="41"/>
      <c r="AE30" s="18"/>
      <c r="AF30" s="18"/>
      <c r="AG30" s="42">
        <v>7</v>
      </c>
      <c r="AH30" s="43"/>
      <c r="AI30" s="285"/>
      <c r="AJ30" s="286"/>
      <c r="AK30" s="44"/>
      <c r="AL30" s="51">
        <f>IF($G13&lt;$AH24,1,IF($G13&lt;$AH25,2,IF($G13&lt;AH26,3,IF($G13&lt;$AH27,4,IF($G13&lt;$AH28,5,0)))))</f>
        <v>1</v>
      </c>
      <c r="AM30" s="52">
        <f>IF($G13&lt;$AH28,0,IF($G13&lt;$AH29,6,IF($G13&lt;$AH30,7,IF($G13&lt;AH31,8,IF($G13&lt;$AH32,9,IF($G13&lt;$AH33,10,11))))))</f>
        <v>0</v>
      </c>
      <c r="AN30" s="18"/>
    </row>
    <row r="31" spans="1:51" ht="42" hidden="1" customHeight="1" thickBot="1">
      <c r="C31" s="72" t="b">
        <v>0</v>
      </c>
      <c r="D31" s="35"/>
      <c r="E31" s="75" t="b">
        <v>0</v>
      </c>
      <c r="F31" s="75" t="b">
        <f t="shared" ref="F31:F37" si="16">IF(F13="",FALSE,TRUE)</f>
        <v>0</v>
      </c>
      <c r="G31" s="36">
        <f t="shared" ref="G31:G37" si="17">IF(AND(C31=TRUE,F31=TRUE),1,0)</f>
        <v>0</v>
      </c>
      <c r="I31" s="314"/>
      <c r="J31" s="315"/>
      <c r="K31" s="316"/>
      <c r="L31" s="318"/>
      <c r="M31" s="318"/>
      <c r="N31" s="320"/>
      <c r="Q31" s="271" t="s">
        <v>67</v>
      </c>
      <c r="R31" s="272"/>
      <c r="S31" s="147"/>
      <c r="V31" s="49"/>
      <c r="W31" s="31"/>
      <c r="X31" s="31"/>
      <c r="Y31" s="109">
        <v>20000000</v>
      </c>
      <c r="Z31" s="107" t="s">
        <v>54</v>
      </c>
      <c r="AA31" s="31"/>
      <c r="AB31" s="31"/>
      <c r="AC31" s="50"/>
      <c r="AD31" s="41"/>
      <c r="AE31" s="18"/>
      <c r="AF31" s="18"/>
      <c r="AG31" s="42">
        <v>8</v>
      </c>
      <c r="AH31" s="43"/>
      <c r="AI31" s="285"/>
      <c r="AJ31" s="286"/>
      <c r="AK31" s="44"/>
      <c r="AL31" s="53">
        <f>SUM(AL30:AM30)</f>
        <v>1</v>
      </c>
      <c r="AM31" s="54"/>
      <c r="AN31" s="18"/>
    </row>
    <row r="32" spans="1:51" ht="42" hidden="1" customHeight="1" thickBot="1">
      <c r="C32" s="73" t="b">
        <v>0</v>
      </c>
      <c r="D32" s="44"/>
      <c r="E32" s="76" t="b">
        <v>0</v>
      </c>
      <c r="F32" s="76" t="b">
        <f t="shared" si="16"/>
        <v>0</v>
      </c>
      <c r="G32" s="45">
        <f>IF(AND(C32=TRUE,F32=TRUE),1,0)</f>
        <v>0</v>
      </c>
      <c r="I32" s="44"/>
      <c r="J32" s="18"/>
      <c r="K32" s="116">
        <v>1</v>
      </c>
      <c r="L32" s="117">
        <f>MAX(IF(AND(OR($F13="65歳～74歳",$F13="75歳以上"),$X13&gt;0),$X13-150000,$X13),)</f>
        <v>0</v>
      </c>
      <c r="M32" s="129" t="str">
        <f>IF($J13="","",IF(OR($F13="65歳～74歳",$F13="75歳以上"),SUM($AC13,$I13,$L32),SUM($AA13,$I13,$L32)))</f>
        <v/>
      </c>
      <c r="N32" s="132" t="str">
        <f>IF(OR(G13&gt;550000,AND(OR(F13="40歳～64歳",F13="*65歳～74歳*"),H13&gt;600000),AND(OR(F13="65歳～74歳",F13="75歳以上"),H13&gt;1100000)),"〇","×")</f>
        <v>×</v>
      </c>
      <c r="Q32" s="292">
        <f>IF(COUNTIF(N32:N38,"〇")-1&lt;0,0,COUNTIF(N32:N38,"〇")-1)</f>
        <v>0</v>
      </c>
      <c r="R32" s="293"/>
      <c r="S32" s="148"/>
      <c r="V32" s="37">
        <v>1</v>
      </c>
      <c r="W32" s="38">
        <v>0</v>
      </c>
      <c r="X32" s="39">
        <v>500001</v>
      </c>
      <c r="Y32" s="31"/>
      <c r="Z32" s="31"/>
      <c r="AA32" s="38">
        <v>1</v>
      </c>
      <c r="AB32" s="38">
        <v>0</v>
      </c>
      <c r="AC32" s="40">
        <v>1000001</v>
      </c>
      <c r="AD32" s="41"/>
      <c r="AE32" s="18"/>
      <c r="AF32" s="18"/>
      <c r="AG32" s="42">
        <v>9</v>
      </c>
      <c r="AH32" s="43"/>
      <c r="AI32" s="285"/>
      <c r="AJ32" s="286"/>
      <c r="AK32" s="44"/>
      <c r="AL32" s="44"/>
      <c r="AM32" s="45"/>
      <c r="AN32" s="18"/>
    </row>
    <row r="33" spans="3:40" ht="42" hidden="1" customHeight="1" thickBot="1">
      <c r="C33" s="73" t="b">
        <v>0</v>
      </c>
      <c r="D33" s="44"/>
      <c r="E33" s="76" t="b">
        <v>0</v>
      </c>
      <c r="F33" s="76" t="b">
        <f t="shared" si="16"/>
        <v>0</v>
      </c>
      <c r="G33" s="45">
        <f t="shared" si="17"/>
        <v>0</v>
      </c>
      <c r="I33" s="44"/>
      <c r="J33" s="18"/>
      <c r="K33" s="42">
        <v>2</v>
      </c>
      <c r="L33" s="43">
        <f t="shared" ref="L33:L38" si="18">MAX(IF(AND($F14="65歳～74歳",$X14&gt;0),$X14-150000,$X14),)</f>
        <v>0</v>
      </c>
      <c r="M33" s="130" t="str">
        <f t="shared" ref="M33:M38" si="19">IF($J14="","",IF($F14="65歳～74歳",SUM($AC14,$I14,$L33),SUM($AA14,$I14,$L33)))</f>
        <v/>
      </c>
      <c r="N33" s="132" t="str">
        <f t="shared" ref="N33:N38" si="20">IF(OR(G14&gt;550000,AND(OR(F14="40歳～64歳",F14="*65歳～74歳*"),H14&gt;600000),AND(F14="65歳～74歳",H14&gt;1100000)),"〇","×")</f>
        <v>×</v>
      </c>
      <c r="Q33" s="18"/>
      <c r="R33" s="18"/>
      <c r="S33" s="18"/>
      <c r="V33" s="37">
        <v>2</v>
      </c>
      <c r="W33" s="48">
        <f>+H13-500000</f>
        <v>-500000</v>
      </c>
      <c r="X33" s="39">
        <v>1300000</v>
      </c>
      <c r="Y33" s="31"/>
      <c r="Z33" s="31"/>
      <c r="AA33" s="38">
        <v>2</v>
      </c>
      <c r="AB33" s="48">
        <f>+H13-1000000</f>
        <v>-1000000</v>
      </c>
      <c r="AC33" s="40">
        <v>3300000</v>
      </c>
      <c r="AD33" s="41"/>
      <c r="AE33" s="18"/>
      <c r="AF33" s="18"/>
      <c r="AG33" s="42">
        <v>10</v>
      </c>
      <c r="AH33" s="43"/>
      <c r="AI33" s="285"/>
      <c r="AJ33" s="286"/>
      <c r="AK33" s="44"/>
      <c r="AL33" s="44"/>
      <c r="AM33" s="45"/>
      <c r="AN33" s="18"/>
    </row>
    <row r="34" spans="3:40" ht="42" hidden="1" customHeight="1" thickBot="1">
      <c r="C34" s="73" t="b">
        <v>0</v>
      </c>
      <c r="D34" s="44"/>
      <c r="E34" s="76" t="b">
        <v>0</v>
      </c>
      <c r="F34" s="76" t="b">
        <f t="shared" si="16"/>
        <v>0</v>
      </c>
      <c r="G34" s="45">
        <f t="shared" si="17"/>
        <v>0</v>
      </c>
      <c r="I34" s="44"/>
      <c r="J34" s="18"/>
      <c r="K34" s="42">
        <v>3</v>
      </c>
      <c r="L34" s="43">
        <f t="shared" si="18"/>
        <v>0</v>
      </c>
      <c r="M34" s="130" t="str">
        <f t="shared" si="19"/>
        <v/>
      </c>
      <c r="N34" s="132" t="str">
        <f t="shared" si="20"/>
        <v>×</v>
      </c>
      <c r="Q34" s="271" t="s">
        <v>28</v>
      </c>
      <c r="R34" s="272"/>
      <c r="S34" s="147"/>
      <c r="V34" s="37">
        <v>3</v>
      </c>
      <c r="W34" s="38">
        <f>+H13*0.75-175000</f>
        <v>-175000</v>
      </c>
      <c r="X34" s="39">
        <v>4100000</v>
      </c>
      <c r="Y34" s="31"/>
      <c r="Z34" s="31"/>
      <c r="AA34" s="38">
        <v>3</v>
      </c>
      <c r="AB34" s="38">
        <f>+H13*0.75-175000</f>
        <v>-175000</v>
      </c>
      <c r="AC34" s="40">
        <v>4100000</v>
      </c>
      <c r="AD34" s="22"/>
      <c r="AE34" s="18"/>
      <c r="AF34" s="18"/>
      <c r="AG34" s="42">
        <v>11</v>
      </c>
      <c r="AH34" s="47"/>
      <c r="AI34" s="285"/>
      <c r="AJ34" s="286"/>
      <c r="AK34" s="44"/>
      <c r="AL34" s="57" t="s">
        <v>13</v>
      </c>
      <c r="AM34" s="58">
        <f>INT(VLOOKUP(AL31,AG24:AJ34,3,FALSE))</f>
        <v>0</v>
      </c>
      <c r="AN34" s="18"/>
    </row>
    <row r="35" spans="3:40" ht="42" hidden="1" customHeight="1" thickBot="1">
      <c r="C35" s="73" t="b">
        <v>0</v>
      </c>
      <c r="D35" s="44"/>
      <c r="E35" s="76" t="b">
        <v>0</v>
      </c>
      <c r="F35" s="76" t="b">
        <f t="shared" si="16"/>
        <v>0</v>
      </c>
      <c r="G35" s="45">
        <f t="shared" si="17"/>
        <v>0</v>
      </c>
      <c r="I35" s="44"/>
      <c r="J35" s="18"/>
      <c r="K35" s="42">
        <v>4</v>
      </c>
      <c r="L35" s="43">
        <f t="shared" si="18"/>
        <v>0</v>
      </c>
      <c r="M35" s="130" t="str">
        <f t="shared" si="19"/>
        <v/>
      </c>
      <c r="N35" s="132" t="str">
        <f t="shared" si="20"/>
        <v>×</v>
      </c>
      <c r="Q35" s="292">
        <f>SUM(M32:M38)</f>
        <v>0</v>
      </c>
      <c r="R35" s="293"/>
      <c r="S35" s="148"/>
      <c r="V35" s="37">
        <v>4</v>
      </c>
      <c r="W35" s="38">
        <f>+H13*0.85-585000</f>
        <v>-585000</v>
      </c>
      <c r="X35" s="39">
        <v>7700000</v>
      </c>
      <c r="Y35" s="31"/>
      <c r="Z35" s="31"/>
      <c r="AA35" s="38">
        <v>4</v>
      </c>
      <c r="AB35" s="38">
        <f>+H13*0.85-585000</f>
        <v>-585000</v>
      </c>
      <c r="AC35" s="40">
        <v>7700000</v>
      </c>
      <c r="AE35" s="18"/>
      <c r="AF35" s="60"/>
      <c r="AG35" s="59"/>
      <c r="AH35" s="60"/>
      <c r="AI35" s="60"/>
      <c r="AJ35" s="60"/>
      <c r="AK35" s="60"/>
      <c r="AL35" s="60"/>
      <c r="AM35" s="61"/>
      <c r="AN35" s="18"/>
    </row>
    <row r="36" spans="3:40" ht="42" hidden="1" customHeight="1" thickBot="1">
      <c r="C36" s="73" t="b">
        <v>0</v>
      </c>
      <c r="D36" s="44"/>
      <c r="E36" s="76" t="b">
        <v>0</v>
      </c>
      <c r="F36" s="76" t="b">
        <f t="shared" si="16"/>
        <v>0</v>
      </c>
      <c r="G36" s="45">
        <f t="shared" si="17"/>
        <v>0</v>
      </c>
      <c r="I36" s="44"/>
      <c r="J36" s="18"/>
      <c r="K36" s="42">
        <v>5</v>
      </c>
      <c r="L36" s="43">
        <f t="shared" si="18"/>
        <v>0</v>
      </c>
      <c r="M36" s="130" t="str">
        <f t="shared" si="19"/>
        <v/>
      </c>
      <c r="N36" s="132" t="str">
        <f t="shared" si="20"/>
        <v>×</v>
      </c>
      <c r="Q36" s="18"/>
      <c r="R36" s="18"/>
      <c r="S36" s="18"/>
      <c r="V36" s="37">
        <v>5</v>
      </c>
      <c r="W36" s="38">
        <f>+H13*0.95-1355000</f>
        <v>-1355000</v>
      </c>
      <c r="X36" s="39">
        <v>10000000</v>
      </c>
      <c r="Y36" s="31"/>
      <c r="Z36" s="31"/>
      <c r="AA36" s="38">
        <v>5</v>
      </c>
      <c r="AB36" s="38">
        <f>+H13*0.95-1355000</f>
        <v>-1355000</v>
      </c>
      <c r="AC36" s="40">
        <v>10000000</v>
      </c>
      <c r="AE36" s="44"/>
      <c r="AF36" s="118">
        <v>2</v>
      </c>
      <c r="AG36" s="116">
        <v>1</v>
      </c>
      <c r="AH36" s="34">
        <v>651000</v>
      </c>
      <c r="AI36" s="240">
        <v>0</v>
      </c>
      <c r="AJ36" s="240"/>
      <c r="AK36" s="44"/>
      <c r="AL36" s="44"/>
      <c r="AM36" s="45"/>
      <c r="AN36" s="18"/>
    </row>
    <row r="37" spans="3:40" ht="42" hidden="1" customHeight="1" thickBot="1">
      <c r="C37" s="74" t="b">
        <v>0</v>
      </c>
      <c r="D37" s="60"/>
      <c r="E37" s="77" t="b">
        <v>0</v>
      </c>
      <c r="F37" s="77" t="b">
        <f t="shared" si="16"/>
        <v>0</v>
      </c>
      <c r="G37" s="45">
        <f t="shared" si="17"/>
        <v>0</v>
      </c>
      <c r="I37" s="44"/>
      <c r="J37" s="18"/>
      <c r="K37" s="42">
        <v>6</v>
      </c>
      <c r="L37" s="43">
        <f t="shared" si="18"/>
        <v>0</v>
      </c>
      <c r="M37" s="130" t="str">
        <f t="shared" si="19"/>
        <v/>
      </c>
      <c r="N37" s="132" t="str">
        <f t="shared" si="20"/>
        <v>×</v>
      </c>
      <c r="Q37" s="271" t="s">
        <v>29</v>
      </c>
      <c r="R37" s="272"/>
      <c r="S37" s="147"/>
      <c r="V37" s="37">
        <v>6</v>
      </c>
      <c r="W37" s="48">
        <f>+H13-1855000</f>
        <v>-1855000</v>
      </c>
      <c r="X37" s="39"/>
      <c r="Y37" s="31"/>
      <c r="Z37" s="31"/>
      <c r="AA37" s="38">
        <v>6</v>
      </c>
      <c r="AB37" s="48">
        <f>+H13-1855000</f>
        <v>-1855000</v>
      </c>
      <c r="AC37" s="40"/>
      <c r="AE37" s="44"/>
      <c r="AF37" s="18"/>
      <c r="AG37" s="42">
        <v>2</v>
      </c>
      <c r="AH37" s="43">
        <v>1900000</v>
      </c>
      <c r="AI37" s="285">
        <f>$G$14-650000</f>
        <v>-650000</v>
      </c>
      <c r="AJ37" s="286"/>
      <c r="AK37" s="44"/>
      <c r="AL37" s="44"/>
      <c r="AM37" s="45"/>
      <c r="AN37" s="18"/>
    </row>
    <row r="38" spans="3:40" ht="42" hidden="1" customHeight="1" thickBot="1">
      <c r="F38" s="44"/>
      <c r="G38" s="89">
        <f>SUM(G31:G37)</f>
        <v>0</v>
      </c>
      <c r="H38" s="44"/>
      <c r="I38" s="44"/>
      <c r="J38" s="18"/>
      <c r="K38" s="67">
        <v>7</v>
      </c>
      <c r="L38" s="68">
        <f t="shared" si="18"/>
        <v>0</v>
      </c>
      <c r="M38" s="131" t="str">
        <f t="shared" si="19"/>
        <v/>
      </c>
      <c r="N38" s="142" t="str">
        <f t="shared" si="20"/>
        <v>×</v>
      </c>
      <c r="Q38" s="235" t="str">
        <f>IF(G38=0,"",IF(Q35&lt;=H51+(100000*Q32),"7割軽減",IF(Q35&lt;=G38*H52+H51+(100000*Q32),"5割軽減",IF(Q35&lt;=G38*H53+H51+(100000*Q32),"2割軽減","軽減なし"))))</f>
        <v/>
      </c>
      <c r="R38" s="236"/>
      <c r="S38" s="149"/>
      <c r="V38" s="49"/>
      <c r="W38" s="105"/>
      <c r="X38" s="104"/>
      <c r="Y38" s="109">
        <v>20000000</v>
      </c>
      <c r="Z38" s="107" t="s">
        <v>80</v>
      </c>
      <c r="AA38" s="31"/>
      <c r="AB38" s="105"/>
      <c r="AC38" s="50"/>
      <c r="AE38" s="18"/>
      <c r="AF38" s="18"/>
      <c r="AG38" s="42">
        <v>3</v>
      </c>
      <c r="AH38" s="43">
        <v>3600000</v>
      </c>
      <c r="AI38" s="285">
        <f>ROUNDDOWN($G$14/4,-3)*2.8-80000</f>
        <v>-80000</v>
      </c>
      <c r="AJ38" s="286"/>
      <c r="AK38" s="44"/>
      <c r="AL38" s="44"/>
      <c r="AM38" s="45"/>
      <c r="AN38" s="18"/>
    </row>
    <row r="39" spans="3:40" ht="42" hidden="1" customHeight="1">
      <c r="F39" s="18"/>
      <c r="G39" s="18"/>
      <c r="H39" s="18"/>
      <c r="I39" s="18"/>
      <c r="J39" s="18"/>
      <c r="K39" s="18"/>
      <c r="L39" s="44"/>
      <c r="M39" s="18"/>
      <c r="N39" s="18"/>
      <c r="O39" s="18"/>
      <c r="V39" s="37">
        <v>1</v>
      </c>
      <c r="W39" s="38">
        <v>0</v>
      </c>
      <c r="X39" s="39">
        <v>400001</v>
      </c>
      <c r="Y39" s="31"/>
      <c r="Z39" s="31"/>
      <c r="AA39" s="38">
        <v>1</v>
      </c>
      <c r="AB39" s="38">
        <v>0</v>
      </c>
      <c r="AC39" s="40">
        <v>900001</v>
      </c>
      <c r="AE39" s="18"/>
      <c r="AF39" s="18"/>
      <c r="AG39" s="42">
        <v>4</v>
      </c>
      <c r="AH39" s="43">
        <v>6600000</v>
      </c>
      <c r="AI39" s="285">
        <f>ROUNDDOWN($G$14/4,-3)*3.2-440000</f>
        <v>-440000</v>
      </c>
      <c r="AJ39" s="286"/>
      <c r="AK39" s="44"/>
      <c r="AL39" s="44"/>
      <c r="AM39" s="45"/>
      <c r="AN39" s="18"/>
    </row>
    <row r="40" spans="3:40" ht="42" hidden="1" customHeight="1" thickBot="1">
      <c r="F40" s="18"/>
      <c r="G40" s="18"/>
      <c r="H40" s="18"/>
      <c r="I40" s="18"/>
      <c r="J40" s="18"/>
      <c r="K40" s="18"/>
      <c r="L40" s="44"/>
      <c r="M40" s="18"/>
      <c r="N40" s="18"/>
      <c r="O40" s="18"/>
      <c r="V40" s="37">
        <v>2</v>
      </c>
      <c r="W40" s="48">
        <f>+H13-400000</f>
        <v>-400000</v>
      </c>
      <c r="X40" s="39">
        <v>1300000</v>
      </c>
      <c r="Y40" s="31"/>
      <c r="Z40" s="31"/>
      <c r="AA40" s="38">
        <v>2</v>
      </c>
      <c r="AB40" s="48">
        <f>+H13-900000</f>
        <v>-900000</v>
      </c>
      <c r="AC40" s="40">
        <v>3300000</v>
      </c>
      <c r="AE40" s="18"/>
      <c r="AF40" s="18"/>
      <c r="AG40" s="42">
        <v>5</v>
      </c>
      <c r="AH40" s="43">
        <v>8500000</v>
      </c>
      <c r="AI40" s="285">
        <f>$G$14*0.9-1100000</f>
        <v>-1100000</v>
      </c>
      <c r="AJ40" s="286"/>
      <c r="AK40" s="44"/>
      <c r="AL40" s="44"/>
      <c r="AM40" s="45"/>
      <c r="AN40" s="18"/>
    </row>
    <row r="41" spans="3:40" ht="42" hidden="1" customHeight="1" thickBot="1">
      <c r="I41" s="196" t="s">
        <v>33</v>
      </c>
      <c r="J41" s="239"/>
      <c r="K41" s="211" t="s">
        <v>26</v>
      </c>
      <c r="L41" s="205"/>
      <c r="M41" s="205" t="s">
        <v>34</v>
      </c>
      <c r="N41" s="205"/>
      <c r="O41" s="205" t="s">
        <v>27</v>
      </c>
      <c r="P41" s="206"/>
      <c r="Q41" s="198" t="s">
        <v>74</v>
      </c>
      <c r="R41" s="199"/>
      <c r="V41" s="37">
        <v>3</v>
      </c>
      <c r="W41" s="38">
        <f>+H13*0.75-75000</f>
        <v>-75000</v>
      </c>
      <c r="X41" s="39">
        <v>4100000</v>
      </c>
      <c r="Y41" s="31"/>
      <c r="Z41" s="31"/>
      <c r="AA41" s="38">
        <v>3</v>
      </c>
      <c r="AB41" s="38">
        <f>+H13*0.75-75000</f>
        <v>-75000</v>
      </c>
      <c r="AC41" s="40">
        <v>4100000</v>
      </c>
      <c r="AE41" s="18"/>
      <c r="AF41" s="18"/>
      <c r="AG41" s="42">
        <v>6</v>
      </c>
      <c r="AH41" s="43">
        <v>1000000000000</v>
      </c>
      <c r="AI41" s="285">
        <f>$G$14-1950000</f>
        <v>-1950000</v>
      </c>
      <c r="AJ41" s="286"/>
      <c r="AK41" s="44"/>
      <c r="AL41" s="44"/>
      <c r="AM41" s="45"/>
      <c r="AN41" s="18"/>
    </row>
    <row r="42" spans="3:40" ht="42" hidden="1" customHeight="1" thickBot="1">
      <c r="I42" s="44"/>
      <c r="J42" s="44"/>
      <c r="K42" s="214">
        <f>IF($Q$38="7割軽減",SUM(L13:L19)*0.3,IF($Q$38="5割軽減",SUM(L13:L19)*0.5,IF($Q$38="2割軽減",SUM(L13:L19)*0.8,SUM(L13:L19))))</f>
        <v>0</v>
      </c>
      <c r="L42" s="215"/>
      <c r="M42" s="215">
        <f>IF($Q$38="7割軽減",SUM(N13:N19)*0.3,IF($Q$38="5割軽減",SUM(N13:N19)*0.5,IF($Q$38="2割軽減",SUM(N13:N19)*0.8,SUM(N13:N19))))</f>
        <v>0</v>
      </c>
      <c r="N42" s="215"/>
      <c r="O42" s="215">
        <f>IF($Q$38="7割軽減",SUM(P13:P19)*0.3,IF($Q$38="5割軽減",SUM(P13:P19)*0.5,IF($Q$38="2割軽減",SUM(P13:P19)*0.8,SUM(P13:P19))))</f>
        <v>0</v>
      </c>
      <c r="P42" s="298"/>
      <c r="Q42" s="200">
        <f>IF($Q$38="7割軽減",SUM(R13:R19)*0.3,IF($Q$38="5割軽減",SUM(R13:R19)*0.5,IF($Q$38="2割軽減",SUM(R13:R19)*0.8,SUM(R13:R19))))</f>
        <v>0</v>
      </c>
      <c r="R42" s="201"/>
      <c r="V42" s="37">
        <v>4</v>
      </c>
      <c r="W42" s="38">
        <f>+H13*0.85-485000</f>
        <v>-485000</v>
      </c>
      <c r="X42" s="39">
        <v>7700000</v>
      </c>
      <c r="Y42" s="31"/>
      <c r="Z42" s="31"/>
      <c r="AA42" s="38">
        <v>4</v>
      </c>
      <c r="AB42" s="38">
        <f>+H13*0.85-485000</f>
        <v>-485000</v>
      </c>
      <c r="AC42" s="40">
        <v>7700000</v>
      </c>
      <c r="AE42" s="18"/>
      <c r="AF42" s="18"/>
      <c r="AG42" s="42">
        <v>7</v>
      </c>
      <c r="AH42" s="43"/>
      <c r="AI42" s="285"/>
      <c r="AJ42" s="286"/>
      <c r="AK42" s="44"/>
      <c r="AL42" s="51">
        <f>IF($G14&lt;$AH36,1,IF($G14&lt;$AH37,2,IF($G14&lt;AH38,3,IF($G14&lt;$AH39,4,IF($G14&lt;$AH40,5,0)))))</f>
        <v>1</v>
      </c>
      <c r="AM42" s="52">
        <f>IF($G14&lt;$AH40,0,IF($G14&lt;$AH41,6,IF($G14&lt;$AH42,7,IF($G14&lt;AH43,8,IF($G14&lt;$AH44,9,IF($G14&lt;$AH45,10,11))))))</f>
        <v>0</v>
      </c>
      <c r="AN42" s="18"/>
    </row>
    <row r="43" spans="3:40" ht="42" hidden="1" customHeight="1">
      <c r="O43" s="44"/>
      <c r="V43" s="37">
        <v>5</v>
      </c>
      <c r="W43" s="38">
        <f>+H13*0.95-1255000</f>
        <v>-1255000</v>
      </c>
      <c r="X43" s="39">
        <v>10000000</v>
      </c>
      <c r="Y43" s="31"/>
      <c r="Z43" s="31"/>
      <c r="AA43" s="38">
        <v>5</v>
      </c>
      <c r="AB43" s="38">
        <f>+H13*0.95-1255000</f>
        <v>-1255000</v>
      </c>
      <c r="AC43" s="40">
        <v>10000000</v>
      </c>
      <c r="AE43" s="18"/>
      <c r="AF43" s="18"/>
      <c r="AG43" s="42">
        <v>8</v>
      </c>
      <c r="AH43" s="43"/>
      <c r="AI43" s="285"/>
      <c r="AJ43" s="286"/>
      <c r="AK43" s="44"/>
      <c r="AL43" s="53">
        <f>SUM(AL42:AM42)</f>
        <v>1</v>
      </c>
      <c r="AM43" s="54"/>
      <c r="AN43" s="18"/>
    </row>
    <row r="44" spans="3:40" ht="42" hidden="1" customHeight="1" thickBot="1">
      <c r="F44" s="294" t="s">
        <v>40</v>
      </c>
      <c r="G44" s="294"/>
      <c r="H44" s="294"/>
      <c r="I44" s="294"/>
      <c r="J44" s="294"/>
      <c r="K44" s="294"/>
      <c r="L44" s="294"/>
      <c r="V44" s="37">
        <v>6</v>
      </c>
      <c r="W44" s="48">
        <f>+H13-1755000</f>
        <v>-1755000</v>
      </c>
      <c r="X44" s="39"/>
      <c r="Y44" s="31"/>
      <c r="Z44" s="31"/>
      <c r="AA44" s="38">
        <v>6</v>
      </c>
      <c r="AB44" s="48">
        <f>+H13-1755000</f>
        <v>-1755000</v>
      </c>
      <c r="AC44" s="40"/>
      <c r="AE44" s="18"/>
      <c r="AF44" s="18"/>
      <c r="AG44" s="42">
        <v>9</v>
      </c>
      <c r="AH44" s="43"/>
      <c r="AI44" s="285"/>
      <c r="AJ44" s="286"/>
      <c r="AK44" s="44"/>
      <c r="AL44" s="44"/>
      <c r="AM44" s="45"/>
      <c r="AN44" s="18"/>
    </row>
    <row r="45" spans="3:40" ht="42" hidden="1" customHeight="1" thickBot="1">
      <c r="F45" s="297"/>
      <c r="G45" s="297"/>
      <c r="H45" s="88" t="s">
        <v>41</v>
      </c>
      <c r="I45" s="89" t="s">
        <v>49</v>
      </c>
      <c r="J45" s="89" t="s">
        <v>50</v>
      </c>
      <c r="K45" s="157"/>
      <c r="L45" s="44"/>
      <c r="M45" s="44"/>
      <c r="N45" s="44"/>
      <c r="O45" s="44"/>
      <c r="P45" s="44"/>
      <c r="Q45" s="44"/>
      <c r="V45" s="49"/>
      <c r="W45" s="31"/>
      <c r="X45" s="31"/>
      <c r="Y45" s="44" t="s">
        <v>57</v>
      </c>
      <c r="Z45" s="111">
        <f>IF(Y13&lt;=Y24,1,IF(Y13&lt;=Y31,2,3))</f>
        <v>1</v>
      </c>
      <c r="AA45" s="31"/>
      <c r="AB45" s="31"/>
      <c r="AC45" s="50"/>
      <c r="AE45" s="18"/>
      <c r="AF45" s="18"/>
      <c r="AG45" s="42">
        <v>10</v>
      </c>
      <c r="AH45" s="43"/>
      <c r="AI45" s="285"/>
      <c r="AJ45" s="286"/>
      <c r="AK45" s="44"/>
      <c r="AL45" s="44"/>
      <c r="AM45" s="45"/>
      <c r="AN45" s="18"/>
    </row>
    <row r="46" spans="3:40" ht="42" hidden="1" customHeight="1" thickBot="1">
      <c r="F46" s="295" t="s">
        <v>42</v>
      </c>
      <c r="G46" s="296"/>
      <c r="H46" s="91">
        <v>660000</v>
      </c>
      <c r="I46" s="92">
        <v>44000</v>
      </c>
      <c r="J46" s="93">
        <v>7.4499999999999997E-2</v>
      </c>
      <c r="K46" s="153"/>
      <c r="L46" s="44"/>
      <c r="M46" s="237"/>
      <c r="N46" s="237"/>
      <c r="O46" s="237"/>
      <c r="P46" s="237"/>
      <c r="Q46" s="44"/>
      <c r="V46" s="37">
        <v>1</v>
      </c>
      <c r="W46" s="108">
        <f>IF($Z45=1,W25,IF($Z45=2,W32,W39))</f>
        <v>0</v>
      </c>
      <c r="X46" s="38">
        <f>IF($Z45=1,X25,IF($Z45=2,X32,X39))</f>
        <v>600001</v>
      </c>
      <c r="Y46" s="44" t="s">
        <v>58</v>
      </c>
      <c r="Z46" s="31"/>
      <c r="AA46" s="38">
        <v>1</v>
      </c>
      <c r="AB46" s="108">
        <f>IF($Z45=1,AB25,IF($Z45=2,AB32,AB39))</f>
        <v>0</v>
      </c>
      <c r="AC46" s="40">
        <f>IF($Z45=1,AC25,IF($Z45=2,AC32,AC39))</f>
        <v>1100001</v>
      </c>
      <c r="AE46" s="18"/>
      <c r="AF46" s="18"/>
      <c r="AG46" s="42">
        <v>11</v>
      </c>
      <c r="AH46" s="156"/>
      <c r="AI46" s="285"/>
      <c r="AJ46" s="286"/>
      <c r="AK46" s="44"/>
      <c r="AL46" s="57" t="s">
        <v>13</v>
      </c>
      <c r="AM46" s="58">
        <f>INT(VLOOKUP(AL43,AG36:AJ46,3,FALSE))</f>
        <v>0</v>
      </c>
      <c r="AN46" s="18"/>
    </row>
    <row r="47" spans="3:40" ht="42" hidden="1" customHeight="1" thickBot="1">
      <c r="F47" s="212" t="s">
        <v>43</v>
      </c>
      <c r="G47" s="238"/>
      <c r="H47" s="94">
        <v>260000</v>
      </c>
      <c r="I47" s="90">
        <v>16000</v>
      </c>
      <c r="J47" s="95">
        <v>2.7799999999999998E-2</v>
      </c>
      <c r="K47" s="153"/>
      <c r="L47" s="44"/>
      <c r="M47" s="237"/>
      <c r="N47" s="237"/>
      <c r="O47" s="237"/>
      <c r="P47" s="237"/>
      <c r="Q47" s="44"/>
      <c r="V47" s="37">
        <v>2</v>
      </c>
      <c r="W47" s="108">
        <f>IF($Z45=1,W26,IF($Z45=2,W33,W40))</f>
        <v>-600000</v>
      </c>
      <c r="X47" s="38">
        <f>IF($Z45=1,X26,IF($Z45=2,X33,X40))</f>
        <v>1300000</v>
      </c>
      <c r="Y47" s="31"/>
      <c r="Z47" s="31"/>
      <c r="AA47" s="38">
        <v>2</v>
      </c>
      <c r="AB47" s="108">
        <f>IF($Z45=1,AB26,IF($Z45=2,AB33,AB40))</f>
        <v>-1100000</v>
      </c>
      <c r="AC47" s="40">
        <f>IF($Z45=1,AC26,IF($Z45=2,AC33,AC40))</f>
        <v>3300000</v>
      </c>
      <c r="AE47" s="18"/>
      <c r="AF47" s="60"/>
      <c r="AG47" s="59"/>
      <c r="AH47" s="60"/>
      <c r="AI47" s="60"/>
      <c r="AJ47" s="60"/>
      <c r="AK47" s="60"/>
      <c r="AL47" s="60"/>
      <c r="AM47" s="61"/>
      <c r="AN47" s="18"/>
    </row>
    <row r="48" spans="3:40" ht="42" hidden="1" customHeight="1" thickBot="1">
      <c r="F48" s="214" t="s">
        <v>44</v>
      </c>
      <c r="G48" s="303"/>
      <c r="H48" s="96">
        <v>170000</v>
      </c>
      <c r="I48" s="97">
        <v>17000</v>
      </c>
      <c r="J48" s="98">
        <v>2.3599999999999999E-2</v>
      </c>
      <c r="K48" s="153"/>
      <c r="L48" s="44"/>
      <c r="M48" s="44"/>
      <c r="N48" s="44"/>
      <c r="O48" s="44"/>
      <c r="P48" s="44"/>
      <c r="Q48" s="44"/>
      <c r="V48" s="37">
        <v>3</v>
      </c>
      <c r="W48" s="108">
        <f>IF($Z45=1,W27,IF($Z45=2,W34,W41))</f>
        <v>-275000</v>
      </c>
      <c r="X48" s="38">
        <f>IF($Z45=1,X27,IF($Z45=2,X34,X41))</f>
        <v>4100000</v>
      </c>
      <c r="Y48" s="31"/>
      <c r="Z48" s="31"/>
      <c r="AA48" s="38">
        <v>3</v>
      </c>
      <c r="AB48" s="108">
        <f>IF($Z45=1,AB27,IF($Z45=2,AB34,AB41))</f>
        <v>-275000</v>
      </c>
      <c r="AC48" s="40">
        <f>IF($Z45=1,AC27,IF($Z45=2,AC34,AC41))</f>
        <v>4100000</v>
      </c>
      <c r="AE48" s="18"/>
      <c r="AF48" s="118">
        <v>3</v>
      </c>
      <c r="AG48" s="116">
        <v>1</v>
      </c>
      <c r="AH48" s="117">
        <v>651000</v>
      </c>
      <c r="AI48" s="302">
        <v>0</v>
      </c>
      <c r="AJ48" s="302"/>
      <c r="AK48" s="44"/>
      <c r="AL48" s="44"/>
      <c r="AM48" s="45"/>
      <c r="AN48" s="18"/>
    </row>
    <row r="49" spans="3:40" ht="42" hidden="1" customHeight="1" thickBot="1">
      <c r="C49" s="44"/>
      <c r="D49" s="44"/>
      <c r="E49" s="44"/>
      <c r="F49" s="196" t="s">
        <v>71</v>
      </c>
      <c r="G49" s="197"/>
      <c r="H49" s="155">
        <v>30000</v>
      </c>
      <c r="I49" s="152">
        <v>1500</v>
      </c>
      <c r="J49" s="151">
        <v>2.7000000000000001E-3</v>
      </c>
      <c r="K49" s="153"/>
      <c r="L49" s="44"/>
      <c r="M49" s="44"/>
      <c r="N49" s="44"/>
      <c r="O49" s="44"/>
      <c r="P49" s="44"/>
      <c r="Q49" s="44"/>
      <c r="V49" s="37">
        <v>4</v>
      </c>
      <c r="W49" s="108">
        <f>IF($Z45=1,W28,IF($Z45=2,W35,W42))</f>
        <v>-685000</v>
      </c>
      <c r="X49" s="38">
        <f>IF($Z45=1,X28,IF($Z45=2,X35,X42))</f>
        <v>7700000</v>
      </c>
      <c r="Y49" s="31"/>
      <c r="Z49" s="31"/>
      <c r="AA49" s="38">
        <v>4</v>
      </c>
      <c r="AB49" s="108">
        <f>IF($Z45=1,AB28,IF($Z45=2,AB35,AB42))</f>
        <v>-685000</v>
      </c>
      <c r="AC49" s="40">
        <f>IF($Z45=1,AC28,IF($Z45=2,AC35,AC42))</f>
        <v>7700000</v>
      </c>
      <c r="AE49" s="18"/>
      <c r="AF49" s="18"/>
      <c r="AG49" s="42">
        <v>2</v>
      </c>
      <c r="AH49" s="43">
        <v>1900000</v>
      </c>
      <c r="AI49" s="285">
        <f>$G$15-650000</f>
        <v>-650000</v>
      </c>
      <c r="AJ49" s="286"/>
      <c r="AK49" s="44"/>
      <c r="AL49" s="44"/>
      <c r="AM49" s="45"/>
      <c r="AN49" s="18"/>
    </row>
    <row r="50" spans="3:40" ht="42" hidden="1" customHeight="1" thickBot="1">
      <c r="C50" s="44"/>
      <c r="D50" s="44"/>
      <c r="E50" s="44"/>
      <c r="F50" s="209" t="s">
        <v>45</v>
      </c>
      <c r="G50" s="210"/>
      <c r="H50" s="44"/>
      <c r="I50" s="44"/>
      <c r="J50" s="44"/>
      <c r="K50" s="44"/>
      <c r="L50" s="44"/>
      <c r="M50" s="44"/>
      <c r="N50" s="44"/>
      <c r="O50" s="44"/>
      <c r="P50" s="44"/>
      <c r="Q50" s="44"/>
      <c r="V50" s="37">
        <v>5</v>
      </c>
      <c r="W50" s="108">
        <f>IF($Z45=1,W29,IF($Z45=2,W36,W43))</f>
        <v>-1455000</v>
      </c>
      <c r="X50" s="38">
        <f>IF($Z45=1,X29,IF($Z45=2,X36,X43))</f>
        <v>10000000</v>
      </c>
      <c r="Y50" s="31"/>
      <c r="Z50" s="31"/>
      <c r="AA50" s="38">
        <v>5</v>
      </c>
      <c r="AB50" s="108">
        <f>IF($Z45=1,AB29,IF($Z45=2,AB36,AB43))</f>
        <v>-1455000</v>
      </c>
      <c r="AC50" s="40">
        <f>IF($Z45=1,AC29,IF($Z45=2,AC36,AC43))</f>
        <v>10000000</v>
      </c>
      <c r="AE50" s="18"/>
      <c r="AF50" s="18"/>
      <c r="AG50" s="42">
        <v>3</v>
      </c>
      <c r="AH50" s="43">
        <v>3600000</v>
      </c>
      <c r="AI50" s="285">
        <f>ROUNDDOWN($G$15/4,-3)*2.8-80000</f>
        <v>-80000</v>
      </c>
      <c r="AJ50" s="286"/>
      <c r="AK50" s="44"/>
      <c r="AL50" s="44"/>
      <c r="AM50" s="45"/>
      <c r="AN50" s="18"/>
    </row>
    <row r="51" spans="3:40" ht="42" hidden="1" customHeight="1">
      <c r="C51" s="44"/>
      <c r="D51" s="44"/>
      <c r="E51" s="44"/>
      <c r="F51" s="211" t="s">
        <v>46</v>
      </c>
      <c r="G51" s="205"/>
      <c r="H51" s="85">
        <v>430000</v>
      </c>
      <c r="I51" s="44"/>
      <c r="J51" s="44"/>
      <c r="K51" s="44"/>
      <c r="L51" s="44"/>
      <c r="M51" s="44"/>
      <c r="N51" s="44"/>
      <c r="O51" s="44"/>
      <c r="P51" s="44"/>
      <c r="Q51" s="44"/>
      <c r="V51" s="37">
        <v>6</v>
      </c>
      <c r="W51" s="108">
        <f>IF($Z45=1,W30,IF($Z45=2,W37,W44))</f>
        <v>-1955000</v>
      </c>
      <c r="X51" s="38"/>
      <c r="Y51" s="31"/>
      <c r="Z51" s="31"/>
      <c r="AA51" s="38">
        <v>6</v>
      </c>
      <c r="AB51" s="108">
        <f>IF($Z45=1,AB30,IF($Z45=2,AB37,AB44))</f>
        <v>-1955000</v>
      </c>
      <c r="AC51" s="40"/>
      <c r="AF51" s="18"/>
      <c r="AG51" s="42">
        <v>4</v>
      </c>
      <c r="AH51" s="43">
        <v>6600000</v>
      </c>
      <c r="AI51" s="285">
        <f>ROUNDDOWN($G$15/4,-3)*3.2-440000</f>
        <v>-440000</v>
      </c>
      <c r="AJ51" s="286"/>
      <c r="AK51" s="44"/>
      <c r="AL51" s="44"/>
      <c r="AM51" s="45"/>
    </row>
    <row r="52" spans="3:40" ht="42" hidden="1" customHeight="1" thickBot="1">
      <c r="C52" s="44"/>
      <c r="D52" s="44"/>
      <c r="E52" s="44"/>
      <c r="F52" s="212" t="s">
        <v>47</v>
      </c>
      <c r="G52" s="213"/>
      <c r="H52" s="86">
        <v>310000</v>
      </c>
      <c r="I52" s="44"/>
      <c r="J52" s="44"/>
      <c r="K52" s="44"/>
      <c r="L52" s="44"/>
      <c r="M52" s="44"/>
      <c r="N52" s="44"/>
      <c r="O52" s="44"/>
      <c r="P52" s="44"/>
      <c r="Q52" s="44"/>
      <c r="V52" s="49"/>
      <c r="W52" s="31"/>
      <c r="X52" s="31"/>
      <c r="Y52" s="31"/>
      <c r="Z52" s="31"/>
      <c r="AA52" s="31"/>
      <c r="AB52" s="31"/>
      <c r="AC52" s="50"/>
      <c r="AF52" s="18"/>
      <c r="AG52" s="42">
        <v>5</v>
      </c>
      <c r="AH52" s="43">
        <v>8500000</v>
      </c>
      <c r="AI52" s="285">
        <f>$G$15*0.9-1100000</f>
        <v>-1100000</v>
      </c>
      <c r="AJ52" s="286"/>
      <c r="AK52" s="44"/>
      <c r="AL52" s="44"/>
      <c r="AM52" s="45"/>
    </row>
    <row r="53" spans="3:40" ht="42" hidden="1" customHeight="1" thickBot="1">
      <c r="C53" s="44"/>
      <c r="D53" s="44"/>
      <c r="E53" s="44"/>
      <c r="F53" s="214" t="s">
        <v>48</v>
      </c>
      <c r="G53" s="215"/>
      <c r="H53" s="87">
        <v>570000</v>
      </c>
      <c r="I53" s="44"/>
      <c r="J53" s="44"/>
      <c r="K53" s="44"/>
      <c r="L53" s="44"/>
      <c r="M53" s="44"/>
      <c r="N53" s="44"/>
      <c r="O53" s="44"/>
      <c r="P53" s="44"/>
      <c r="Q53" s="44"/>
      <c r="V53" s="49"/>
      <c r="W53" s="31"/>
      <c r="X53" s="112">
        <f>+IF(H13&lt;X46,1,IF(H13&lt;X47,2,IF(H13&lt;X48,3,IF(H13&lt;X49,4,IF(H13&lt;X50,5,6)))))</f>
        <v>1</v>
      </c>
      <c r="Y53" s="31"/>
      <c r="Z53" s="31"/>
      <c r="AA53" s="31"/>
      <c r="AB53" s="31"/>
      <c r="AC53" s="112">
        <f>+IF(H13&lt;AC46,1,IF(H13&lt;AC47,2,IF(H13&lt;AC48,3,IF(H13&lt;AC49,4,IF(H13&lt;AC50,5,6)))))</f>
        <v>1</v>
      </c>
      <c r="AF53" s="18"/>
      <c r="AG53" s="42">
        <v>6</v>
      </c>
      <c r="AH53" s="43">
        <v>1000000000000</v>
      </c>
      <c r="AI53" s="285">
        <f>$G$15-1950000</f>
        <v>-1950000</v>
      </c>
      <c r="AJ53" s="286"/>
      <c r="AK53" s="44"/>
      <c r="AL53" s="44"/>
      <c r="AM53" s="45"/>
    </row>
    <row r="54" spans="3:40" ht="42" hidden="1" customHeight="1" thickBot="1"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V54" s="49"/>
      <c r="W54" s="31"/>
      <c r="X54" s="56">
        <f>ROUNDDOWN(LOOKUP(X53,V46:V51,W46:W51),0)</f>
        <v>0</v>
      </c>
      <c r="Y54" s="31"/>
      <c r="Z54" s="31"/>
      <c r="AA54" s="31"/>
      <c r="AB54" s="31"/>
      <c r="AC54" s="56">
        <f>ROUNDDOWN(LOOKUP(AC53,AA46:AA51,AB46:AB51),0)</f>
        <v>0</v>
      </c>
      <c r="AF54" s="18"/>
      <c r="AG54" s="42">
        <v>7</v>
      </c>
      <c r="AH54" s="43"/>
      <c r="AI54" s="285"/>
      <c r="AJ54" s="286"/>
      <c r="AK54" s="44"/>
      <c r="AL54" s="51">
        <f>IF($G15&lt;$AH48,1,IF($G15&lt;$AH49,2,IF($G15&lt;AH50,3,IF($G15&lt;$AH51,4,IF($G15&lt;$AH52,5,0)))))</f>
        <v>1</v>
      </c>
      <c r="AM54" s="52">
        <f>IF($G15&lt;$AH52,0,IF($G15&lt;$AH53,6,IF($G15&lt;$AH54,7,IF($G15&lt;AH55,8,IF($G15&lt;$AH56,9,IF($G15&lt;$AH57,10,11))))))</f>
        <v>0</v>
      </c>
    </row>
    <row r="55" spans="3:40" ht="42" hidden="1" customHeight="1" thickBot="1">
      <c r="C55" s="44"/>
      <c r="D55" s="44"/>
      <c r="E55" s="44"/>
      <c r="F55" s="196" t="s">
        <v>51</v>
      </c>
      <c r="G55" s="299"/>
      <c r="H55" s="101">
        <v>430000</v>
      </c>
      <c r="I55" s="44"/>
      <c r="J55" s="44"/>
      <c r="K55" s="44"/>
      <c r="L55" s="44"/>
      <c r="M55" s="44"/>
      <c r="N55" s="44"/>
      <c r="O55" s="44"/>
      <c r="P55" s="44"/>
      <c r="Q55" s="44"/>
      <c r="V55" s="49"/>
      <c r="W55" s="31"/>
      <c r="X55" s="31"/>
      <c r="Y55" s="31"/>
      <c r="Z55" s="31"/>
      <c r="AA55" s="31"/>
      <c r="AB55" s="31"/>
      <c r="AC55" s="50"/>
      <c r="AF55" s="18"/>
      <c r="AG55" s="42">
        <v>8</v>
      </c>
      <c r="AH55" s="43"/>
      <c r="AI55" s="285"/>
      <c r="AJ55" s="286"/>
      <c r="AK55" s="44"/>
      <c r="AL55" s="53">
        <f>SUM(AL54:AM54)</f>
        <v>1</v>
      </c>
      <c r="AM55" s="54"/>
    </row>
    <row r="56" spans="3:40" ht="42" hidden="1" customHeight="1" thickBot="1">
      <c r="C56" s="44"/>
      <c r="D56" s="44"/>
      <c r="E56" s="44"/>
      <c r="F56" s="237"/>
      <c r="G56" s="237"/>
      <c r="H56" s="44"/>
      <c r="I56" s="44"/>
      <c r="J56" s="44"/>
      <c r="K56" s="44"/>
      <c r="L56" s="44"/>
      <c r="M56" s="44"/>
      <c r="N56" s="44"/>
      <c r="O56" s="44"/>
      <c r="P56" s="44"/>
      <c r="Q56" s="44"/>
      <c r="V56" s="62"/>
      <c r="W56" s="63" t="s">
        <v>30</v>
      </c>
      <c r="X56" s="64">
        <f>+IF(OR(F13="40歳～64歳",F13="*65歳～74歳*"),X54,IF(OR(F13="65歳～74歳",F13="75歳以上"),AC54,0))</f>
        <v>0</v>
      </c>
      <c r="Y56" s="65"/>
      <c r="Z56" s="65"/>
      <c r="AA56" s="65"/>
      <c r="AB56" s="65"/>
      <c r="AC56" s="66"/>
      <c r="AF56" s="18"/>
      <c r="AG56" s="42">
        <v>9</v>
      </c>
      <c r="AH56" s="43"/>
      <c r="AI56" s="285"/>
      <c r="AJ56" s="286"/>
      <c r="AK56" s="44"/>
      <c r="AL56" s="44"/>
      <c r="AM56" s="45"/>
    </row>
    <row r="57" spans="3:40" ht="42" hidden="1" customHeight="1" thickBot="1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U57" s="27">
        <v>2</v>
      </c>
      <c r="V57" s="28" t="s">
        <v>20</v>
      </c>
      <c r="W57" s="29"/>
      <c r="X57" s="29"/>
      <c r="Y57" s="110">
        <v>10000000</v>
      </c>
      <c r="Z57" s="106" t="s">
        <v>53</v>
      </c>
      <c r="AA57" s="29"/>
      <c r="AB57" s="29" t="s">
        <v>21</v>
      </c>
      <c r="AC57" s="30"/>
      <c r="AF57" s="18"/>
      <c r="AG57" s="42">
        <v>10</v>
      </c>
      <c r="AH57" s="43"/>
      <c r="AI57" s="285"/>
      <c r="AJ57" s="286"/>
      <c r="AK57" s="44"/>
      <c r="AL57" s="44"/>
      <c r="AM57" s="45"/>
    </row>
    <row r="58" spans="3:40" ht="33" hidden="1" thickBot="1">
      <c r="F58" s="44"/>
      <c r="G58" s="44"/>
      <c r="H58" s="44"/>
      <c r="I58" s="78"/>
      <c r="V58" s="37">
        <v>1</v>
      </c>
      <c r="W58" s="38">
        <v>0</v>
      </c>
      <c r="X58" s="39">
        <v>600001</v>
      </c>
      <c r="Y58" s="31"/>
      <c r="Z58" s="31"/>
      <c r="AA58" s="38">
        <v>1</v>
      </c>
      <c r="AB58" s="38">
        <v>0</v>
      </c>
      <c r="AC58" s="40">
        <v>1100001</v>
      </c>
      <c r="AF58" s="18"/>
      <c r="AG58" s="42">
        <v>11</v>
      </c>
      <c r="AH58" s="103"/>
      <c r="AI58" s="285"/>
      <c r="AJ58" s="286"/>
      <c r="AK58" s="44"/>
      <c r="AL58" s="57" t="s">
        <v>13</v>
      </c>
      <c r="AM58" s="58">
        <f>INT(VLOOKUP(AL55,AG48:AJ58,3,FALSE))</f>
        <v>0</v>
      </c>
    </row>
    <row r="59" spans="3:40" ht="14.25" thickBot="1">
      <c r="V59" s="37">
        <v>2</v>
      </c>
      <c r="W59" s="48">
        <f>+H14-600000</f>
        <v>-600000</v>
      </c>
      <c r="X59" s="39">
        <v>1300000</v>
      </c>
      <c r="Y59" s="31"/>
      <c r="Z59" s="31"/>
      <c r="AA59" s="38">
        <v>2</v>
      </c>
      <c r="AB59" s="48">
        <f>+H14-1100000</f>
        <v>-1100000</v>
      </c>
      <c r="AC59" s="40">
        <v>3300000</v>
      </c>
      <c r="AF59" s="60"/>
      <c r="AG59" s="59"/>
      <c r="AH59" s="60"/>
      <c r="AI59" s="60"/>
      <c r="AJ59" s="60"/>
      <c r="AK59" s="60"/>
      <c r="AL59" s="60"/>
      <c r="AM59" s="61"/>
    </row>
    <row r="60" spans="3:40" ht="14.25" thickBot="1">
      <c r="F60" s="18"/>
      <c r="G60" s="18"/>
      <c r="H60" s="18"/>
      <c r="I60" s="18"/>
      <c r="V60" s="37">
        <v>3</v>
      </c>
      <c r="W60" s="38">
        <f>+H14*0.75-275000</f>
        <v>-275000</v>
      </c>
      <c r="X60" s="39">
        <v>4100000</v>
      </c>
      <c r="Y60" s="31"/>
      <c r="Z60" s="31"/>
      <c r="AA60" s="38">
        <v>3</v>
      </c>
      <c r="AB60" s="38">
        <f>+H14*0.75-275000</f>
        <v>-275000</v>
      </c>
      <c r="AC60" s="40">
        <v>4100000</v>
      </c>
      <c r="AF60" s="118">
        <v>4</v>
      </c>
      <c r="AG60" s="116">
        <v>1</v>
      </c>
      <c r="AH60" s="117">
        <v>651000</v>
      </c>
      <c r="AI60" s="302">
        <v>0</v>
      </c>
      <c r="AJ60" s="302"/>
      <c r="AK60" s="44"/>
      <c r="AL60" s="44"/>
      <c r="AM60" s="45"/>
    </row>
    <row r="61" spans="3:40">
      <c r="V61" s="37">
        <v>4</v>
      </c>
      <c r="W61" s="38">
        <f>+H14*0.85-685000</f>
        <v>-685000</v>
      </c>
      <c r="X61" s="39">
        <v>7700000</v>
      </c>
      <c r="Y61" s="31"/>
      <c r="Z61" s="31"/>
      <c r="AA61" s="38">
        <v>4</v>
      </c>
      <c r="AB61" s="38">
        <f>+H14*0.85-685000</f>
        <v>-685000</v>
      </c>
      <c r="AC61" s="40">
        <v>7700000</v>
      </c>
      <c r="AF61" s="18"/>
      <c r="AG61" s="42">
        <v>2</v>
      </c>
      <c r="AH61" s="43">
        <v>1900000</v>
      </c>
      <c r="AI61" s="285">
        <f>$G$16-650000</f>
        <v>-650000</v>
      </c>
      <c r="AJ61" s="286"/>
      <c r="AK61" s="44"/>
      <c r="AL61" s="44"/>
      <c r="AM61" s="45"/>
    </row>
    <row r="62" spans="3:40">
      <c r="V62" s="37">
        <v>5</v>
      </c>
      <c r="W62" s="38">
        <f>+H14*0.95-1455000</f>
        <v>-1455000</v>
      </c>
      <c r="X62" s="39">
        <v>10000000</v>
      </c>
      <c r="Y62" s="31"/>
      <c r="Z62" s="31"/>
      <c r="AA62" s="38">
        <v>5</v>
      </c>
      <c r="AB62" s="38">
        <f>+H14*0.95-1455000</f>
        <v>-1455000</v>
      </c>
      <c r="AC62" s="40">
        <v>10000000</v>
      </c>
      <c r="AF62" s="18"/>
      <c r="AG62" s="42">
        <v>3</v>
      </c>
      <c r="AH62" s="43">
        <v>3600000</v>
      </c>
      <c r="AI62" s="285">
        <f>ROUNDDOWN($G$16/4,-3)*2.8-80000</f>
        <v>-80000</v>
      </c>
      <c r="AJ62" s="286"/>
      <c r="AK62" s="44"/>
      <c r="AL62" s="44"/>
      <c r="AM62" s="45"/>
    </row>
    <row r="63" spans="3:40">
      <c r="V63" s="37">
        <v>6</v>
      </c>
      <c r="W63" s="48">
        <f>+H14-1955000</f>
        <v>-1955000</v>
      </c>
      <c r="X63" s="39"/>
      <c r="Y63" s="31"/>
      <c r="Z63" s="31"/>
      <c r="AA63" s="38">
        <v>6</v>
      </c>
      <c r="AB63" s="48">
        <f>+H14-1955000</f>
        <v>-1955000</v>
      </c>
      <c r="AC63" s="40"/>
      <c r="AF63" s="18"/>
      <c r="AG63" s="42">
        <v>4</v>
      </c>
      <c r="AH63" s="43">
        <v>6600000</v>
      </c>
      <c r="AI63" s="285">
        <f>ROUNDDOWN($G$16/4,-3)*3.2-440000</f>
        <v>-440000</v>
      </c>
      <c r="AJ63" s="286"/>
      <c r="AK63" s="44"/>
      <c r="AL63" s="44"/>
      <c r="AM63" s="45"/>
    </row>
    <row r="64" spans="3:40">
      <c r="V64" s="49"/>
      <c r="W64" s="31"/>
      <c r="X64" s="31"/>
      <c r="Y64" s="109">
        <v>20000000</v>
      </c>
      <c r="Z64" s="107" t="s">
        <v>54</v>
      </c>
      <c r="AA64" s="31"/>
      <c r="AB64" s="31"/>
      <c r="AC64" s="50"/>
      <c r="AF64" s="18"/>
      <c r="AG64" s="42">
        <v>5</v>
      </c>
      <c r="AH64" s="43">
        <v>8500000</v>
      </c>
      <c r="AI64" s="285">
        <f>$G$16*0.9-1100000</f>
        <v>-1100000</v>
      </c>
      <c r="AJ64" s="286"/>
      <c r="AK64" s="44"/>
      <c r="AL64" s="44"/>
      <c r="AM64" s="45"/>
    </row>
    <row r="65" spans="22:39">
      <c r="V65" s="37">
        <v>1</v>
      </c>
      <c r="W65" s="38">
        <v>0</v>
      </c>
      <c r="X65" s="39">
        <v>500001</v>
      </c>
      <c r="Y65" s="31"/>
      <c r="Z65" s="31"/>
      <c r="AA65" s="38">
        <v>1</v>
      </c>
      <c r="AB65" s="38">
        <v>0</v>
      </c>
      <c r="AC65" s="40">
        <v>1000001</v>
      </c>
      <c r="AF65" s="18"/>
      <c r="AG65" s="42">
        <v>6</v>
      </c>
      <c r="AH65" s="43">
        <v>1000000000000</v>
      </c>
      <c r="AI65" s="285">
        <f>$G$16-1950000</f>
        <v>-1950000</v>
      </c>
      <c r="AJ65" s="286"/>
      <c r="AK65" s="44"/>
      <c r="AL65" s="44"/>
      <c r="AM65" s="45"/>
    </row>
    <row r="66" spans="22:39">
      <c r="V66" s="37">
        <v>2</v>
      </c>
      <c r="W66" s="48">
        <f>+H14-500000</f>
        <v>-500000</v>
      </c>
      <c r="X66" s="39">
        <v>1300000</v>
      </c>
      <c r="Y66" s="31"/>
      <c r="Z66" s="31"/>
      <c r="AA66" s="38">
        <v>2</v>
      </c>
      <c r="AB66" s="48">
        <f>+H14-1000000</f>
        <v>-1000000</v>
      </c>
      <c r="AC66" s="40">
        <v>3300000</v>
      </c>
      <c r="AF66" s="18"/>
      <c r="AG66" s="42">
        <v>7</v>
      </c>
      <c r="AH66" s="43"/>
      <c r="AI66" s="285"/>
      <c r="AJ66" s="286"/>
      <c r="AK66" s="44"/>
      <c r="AL66" s="51">
        <f>IF($G16&lt;$AH60,1,IF($G16&lt;$AH61,2,IF($G16&lt;AH62,3,IF($G16&lt;$AH63,4,IF($G16&lt;$AH64,5,0)))))</f>
        <v>1</v>
      </c>
      <c r="AM66" s="52">
        <f>IF($G16&lt;$AH64,0,IF($G16&lt;$AH65,6,IF($G16&lt;$AH66,7,IF($G16&lt;AH67,8,IF($G16&lt;$AH68,9,IF($G16&lt;$AH69,10,11))))))</f>
        <v>0</v>
      </c>
    </row>
    <row r="67" spans="22:39">
      <c r="V67" s="37">
        <v>3</v>
      </c>
      <c r="W67" s="38">
        <f>+H14*0.75-175000</f>
        <v>-175000</v>
      </c>
      <c r="X67" s="39">
        <v>4100000</v>
      </c>
      <c r="Y67" s="31"/>
      <c r="Z67" s="31"/>
      <c r="AA67" s="38">
        <v>3</v>
      </c>
      <c r="AB67" s="38">
        <f>+H14*0.75-175000</f>
        <v>-175000</v>
      </c>
      <c r="AC67" s="40">
        <v>4100000</v>
      </c>
      <c r="AF67" s="18"/>
      <c r="AG67" s="42">
        <v>8</v>
      </c>
      <c r="AH67" s="43"/>
      <c r="AI67" s="285"/>
      <c r="AJ67" s="286"/>
      <c r="AK67" s="44"/>
      <c r="AL67" s="53">
        <f>SUM(AL66:AM66)</f>
        <v>1</v>
      </c>
      <c r="AM67" s="54"/>
    </row>
    <row r="68" spans="22:39">
      <c r="V68" s="37">
        <v>4</v>
      </c>
      <c r="W68" s="38">
        <f>+H14*0.85-585000</f>
        <v>-585000</v>
      </c>
      <c r="X68" s="39">
        <v>7700000</v>
      </c>
      <c r="Y68" s="31"/>
      <c r="Z68" s="31"/>
      <c r="AA68" s="38">
        <v>4</v>
      </c>
      <c r="AB68" s="38">
        <f>+H14*0.85-585000</f>
        <v>-585000</v>
      </c>
      <c r="AC68" s="40">
        <v>7700000</v>
      </c>
      <c r="AF68" s="18"/>
      <c r="AG68" s="42">
        <v>9</v>
      </c>
      <c r="AH68" s="43"/>
      <c r="AI68" s="285"/>
      <c r="AJ68" s="286"/>
      <c r="AK68" s="44"/>
      <c r="AL68" s="44"/>
      <c r="AM68" s="45"/>
    </row>
    <row r="69" spans="22:39" ht="14.25" thickBot="1">
      <c r="V69" s="37">
        <v>5</v>
      </c>
      <c r="W69" s="38">
        <f>+H14*0.95-1355000</f>
        <v>-1355000</v>
      </c>
      <c r="X69" s="39">
        <v>10000000</v>
      </c>
      <c r="Y69" s="31"/>
      <c r="Z69" s="31"/>
      <c r="AA69" s="38">
        <v>5</v>
      </c>
      <c r="AB69" s="38">
        <f>+H14*0.95-1355000</f>
        <v>-1355000</v>
      </c>
      <c r="AC69" s="40">
        <v>10000000</v>
      </c>
      <c r="AF69" s="18"/>
      <c r="AG69" s="42">
        <v>10</v>
      </c>
      <c r="AH69" s="43"/>
      <c r="AI69" s="285"/>
      <c r="AJ69" s="286"/>
      <c r="AK69" s="44"/>
      <c r="AL69" s="44"/>
      <c r="AM69" s="45"/>
    </row>
    <row r="70" spans="22:39" ht="14.25" thickBot="1">
      <c r="V70" s="37">
        <v>6</v>
      </c>
      <c r="W70" s="48">
        <f>+H14-1855000</f>
        <v>-1855000</v>
      </c>
      <c r="X70" s="39"/>
      <c r="Y70" s="31"/>
      <c r="Z70" s="31"/>
      <c r="AA70" s="38">
        <v>6</v>
      </c>
      <c r="AB70" s="48">
        <f>+H14-1855000</f>
        <v>-1855000</v>
      </c>
      <c r="AC70" s="40"/>
      <c r="AF70" s="18"/>
      <c r="AG70" s="42">
        <v>11</v>
      </c>
      <c r="AH70" s="103"/>
      <c r="AI70" s="285"/>
      <c r="AJ70" s="286"/>
      <c r="AK70" s="44"/>
      <c r="AL70" s="57" t="s">
        <v>13</v>
      </c>
      <c r="AM70" s="58">
        <f>INT(VLOOKUP(AL67,AG60:AJ70,3,FALSE))</f>
        <v>0</v>
      </c>
    </row>
    <row r="71" spans="22:39" ht="14.25" thickBot="1">
      <c r="V71" s="49"/>
      <c r="W71" s="105"/>
      <c r="X71" s="104"/>
      <c r="Y71" s="109">
        <v>20000000</v>
      </c>
      <c r="Z71" s="107" t="s">
        <v>55</v>
      </c>
      <c r="AA71" s="31"/>
      <c r="AB71" s="105"/>
      <c r="AC71" s="50"/>
      <c r="AF71" s="60"/>
      <c r="AG71" s="59"/>
      <c r="AH71" s="60"/>
      <c r="AI71" s="60"/>
      <c r="AJ71" s="60"/>
      <c r="AK71" s="60"/>
      <c r="AL71" s="60"/>
      <c r="AM71" s="61"/>
    </row>
    <row r="72" spans="22:39" ht="14.25" thickBot="1">
      <c r="V72" s="37">
        <v>1</v>
      </c>
      <c r="W72" s="38">
        <v>0</v>
      </c>
      <c r="X72" s="39">
        <v>400001</v>
      </c>
      <c r="Y72" s="31"/>
      <c r="Z72" s="31"/>
      <c r="AA72" s="38">
        <v>1</v>
      </c>
      <c r="AB72" s="38">
        <v>0</v>
      </c>
      <c r="AC72" s="40">
        <v>900001</v>
      </c>
      <c r="AF72" s="118">
        <v>5</v>
      </c>
      <c r="AG72" s="116">
        <v>1</v>
      </c>
      <c r="AH72" s="117">
        <v>651000</v>
      </c>
      <c r="AI72" s="302">
        <v>0</v>
      </c>
      <c r="AJ72" s="302"/>
      <c r="AK72" s="44"/>
      <c r="AL72" s="44"/>
      <c r="AM72" s="45"/>
    </row>
    <row r="73" spans="22:39">
      <c r="V73" s="37">
        <v>2</v>
      </c>
      <c r="W73" s="48">
        <f>+H14-400000</f>
        <v>-400000</v>
      </c>
      <c r="X73" s="39">
        <v>1300000</v>
      </c>
      <c r="Y73" s="31"/>
      <c r="Z73" s="31"/>
      <c r="AA73" s="38">
        <v>2</v>
      </c>
      <c r="AB73" s="48">
        <f>+H14-900000</f>
        <v>-900000</v>
      </c>
      <c r="AC73" s="40">
        <v>3300000</v>
      </c>
      <c r="AF73" s="18"/>
      <c r="AG73" s="42">
        <v>2</v>
      </c>
      <c r="AH73" s="43">
        <v>1900000</v>
      </c>
      <c r="AI73" s="285">
        <f>$G$17-650000</f>
        <v>-650000</v>
      </c>
      <c r="AJ73" s="286"/>
      <c r="AK73" s="44"/>
      <c r="AL73" s="44"/>
      <c r="AM73" s="45"/>
    </row>
    <row r="74" spans="22:39">
      <c r="V74" s="37">
        <v>3</v>
      </c>
      <c r="W74" s="38">
        <f>+H14*0.75-75000</f>
        <v>-75000</v>
      </c>
      <c r="X74" s="39">
        <v>4100000</v>
      </c>
      <c r="Y74" s="31"/>
      <c r="Z74" s="31"/>
      <c r="AA74" s="38">
        <v>3</v>
      </c>
      <c r="AB74" s="38">
        <f>+H14*0.75-75000</f>
        <v>-75000</v>
      </c>
      <c r="AC74" s="40">
        <v>4100000</v>
      </c>
      <c r="AF74" s="18"/>
      <c r="AG74" s="42">
        <v>3</v>
      </c>
      <c r="AH74" s="43">
        <v>3600000</v>
      </c>
      <c r="AI74" s="285">
        <f>ROUNDDOWN($G$17/4,-3)*2.8-80000</f>
        <v>-80000</v>
      </c>
      <c r="AJ74" s="286"/>
      <c r="AK74" s="44"/>
      <c r="AL74" s="44"/>
      <c r="AM74" s="45"/>
    </row>
    <row r="75" spans="22:39">
      <c r="V75" s="37">
        <v>4</v>
      </c>
      <c r="W75" s="38">
        <f>+H14*0.85-485000</f>
        <v>-485000</v>
      </c>
      <c r="X75" s="39">
        <v>7700000</v>
      </c>
      <c r="Y75" s="31"/>
      <c r="Z75" s="31"/>
      <c r="AA75" s="38">
        <v>4</v>
      </c>
      <c r="AB75" s="38">
        <f>+H14*0.85-485000</f>
        <v>-485000</v>
      </c>
      <c r="AC75" s="40">
        <v>7700000</v>
      </c>
      <c r="AF75" s="18"/>
      <c r="AG75" s="42">
        <v>4</v>
      </c>
      <c r="AH75" s="43">
        <v>6600000</v>
      </c>
      <c r="AI75" s="285">
        <f>ROUNDDOWN($G$17/4,-3)*3.2-440000</f>
        <v>-440000</v>
      </c>
      <c r="AJ75" s="286"/>
      <c r="AK75" s="44"/>
      <c r="AL75" s="44"/>
      <c r="AM75" s="45"/>
    </row>
    <row r="76" spans="22:39">
      <c r="V76" s="37">
        <v>5</v>
      </c>
      <c r="W76" s="38">
        <f>+H14*0.95-1255000</f>
        <v>-1255000</v>
      </c>
      <c r="X76" s="39">
        <v>10000000</v>
      </c>
      <c r="Y76" s="31"/>
      <c r="Z76" s="31"/>
      <c r="AA76" s="38">
        <v>5</v>
      </c>
      <c r="AB76" s="38">
        <f>+H14*0.95-1255000</f>
        <v>-1255000</v>
      </c>
      <c r="AC76" s="40">
        <v>10000000</v>
      </c>
      <c r="AF76" s="18"/>
      <c r="AG76" s="42">
        <v>5</v>
      </c>
      <c r="AH76" s="43">
        <v>8500000</v>
      </c>
      <c r="AI76" s="285">
        <f>$G$17*0.9-1100000</f>
        <v>-1100000</v>
      </c>
      <c r="AJ76" s="286"/>
      <c r="AK76" s="44"/>
      <c r="AL76" s="44"/>
      <c r="AM76" s="45"/>
    </row>
    <row r="77" spans="22:39" ht="14.25" thickBot="1">
      <c r="V77" s="37">
        <v>6</v>
      </c>
      <c r="W77" s="48">
        <f>+H14-1755000</f>
        <v>-1755000</v>
      </c>
      <c r="X77" s="39"/>
      <c r="Y77" s="31"/>
      <c r="Z77" s="31"/>
      <c r="AA77" s="38">
        <v>6</v>
      </c>
      <c r="AB77" s="48">
        <f>+H14-1755000</f>
        <v>-1755000</v>
      </c>
      <c r="AC77" s="40"/>
      <c r="AF77" s="18"/>
      <c r="AG77" s="42">
        <v>6</v>
      </c>
      <c r="AH77" s="43">
        <v>1000000000000</v>
      </c>
      <c r="AI77" s="285">
        <f>$G$17-1950000</f>
        <v>-1950000</v>
      </c>
      <c r="AJ77" s="286"/>
      <c r="AK77" s="44"/>
      <c r="AL77" s="44"/>
      <c r="AM77" s="45"/>
    </row>
    <row r="78" spans="22:39" ht="14.25" thickBot="1">
      <c r="V78" s="49"/>
      <c r="W78" s="31"/>
      <c r="X78" s="31"/>
      <c r="Y78" s="44" t="s">
        <v>57</v>
      </c>
      <c r="Z78" s="111">
        <f>IF(Y14&lt;=Y57,1,IF(Y14&lt;=Y64,2,3))</f>
        <v>1</v>
      </c>
      <c r="AA78" s="31"/>
      <c r="AB78" s="31"/>
      <c r="AC78" s="50"/>
      <c r="AF78" s="18"/>
      <c r="AG78" s="42">
        <v>7</v>
      </c>
      <c r="AH78" s="43"/>
      <c r="AI78" s="285"/>
      <c r="AJ78" s="286"/>
      <c r="AK78" s="44"/>
      <c r="AL78" s="51">
        <f>IF($G17&lt;$AH72,1,IF($G17&lt;$AH73,2,IF($G17&lt;AH74,3,IF($G17&lt;$AH75,4,IF($G17&lt;$AH76,5,0)))))</f>
        <v>1</v>
      </c>
      <c r="AM78" s="52">
        <f>IF($G17&lt;$AH76,0,IF($G17&lt;$AH77,6,IF($G17&lt;$AH78,7,IF($G17&lt;AH79,8,IF($G17&lt;$AH80,9,IF($G17&lt;$AH81,10,11))))))</f>
        <v>0</v>
      </c>
    </row>
    <row r="79" spans="22:39">
      <c r="V79" s="37">
        <v>1</v>
      </c>
      <c r="W79" s="108">
        <f>IF($Z78=1,W58,IF($Z78=2,W65,W72))</f>
        <v>0</v>
      </c>
      <c r="X79" s="38">
        <f>IF($Z78=1,X58,IF($Z78=2,X65,X72))</f>
        <v>600001</v>
      </c>
      <c r="Y79" s="44" t="s">
        <v>58</v>
      </c>
      <c r="Z79" s="31"/>
      <c r="AA79" s="38">
        <v>1</v>
      </c>
      <c r="AB79" s="108">
        <f>IF($Z78=1,AB58,IF($Z78=2,AB65,AB72))</f>
        <v>0</v>
      </c>
      <c r="AC79" s="40">
        <f>IF($Z78=1,AC58,IF($Z78=2,AC65,AC72))</f>
        <v>1100001</v>
      </c>
      <c r="AF79" s="18"/>
      <c r="AG79" s="42">
        <v>8</v>
      </c>
      <c r="AH79" s="43"/>
      <c r="AI79" s="285"/>
      <c r="AJ79" s="286"/>
      <c r="AK79" s="44"/>
      <c r="AL79" s="53">
        <f>SUM(AL78:AM78)</f>
        <v>1</v>
      </c>
      <c r="AM79" s="54"/>
    </row>
    <row r="80" spans="22:39">
      <c r="V80" s="37">
        <v>2</v>
      </c>
      <c r="W80" s="108">
        <f>IF($Z78=1,W59,IF($Z78=2,W66,W73))</f>
        <v>-600000</v>
      </c>
      <c r="X80" s="38">
        <f>IF($Z78=1,X59,IF($Z78=2,X66,X73))</f>
        <v>1300000</v>
      </c>
      <c r="Y80" s="31"/>
      <c r="Z80" s="31"/>
      <c r="AA80" s="38">
        <v>2</v>
      </c>
      <c r="AB80" s="108">
        <f>IF($Z78=1,AB59,IF($Z78=2,AB66,AB73))</f>
        <v>-1100000</v>
      </c>
      <c r="AC80" s="40">
        <f>IF($Z78=1,AC59,IF($Z78=2,AC66,AC73))</f>
        <v>3300000</v>
      </c>
      <c r="AF80" s="18"/>
      <c r="AG80" s="42">
        <v>9</v>
      </c>
      <c r="AH80" s="43"/>
      <c r="AI80" s="285"/>
      <c r="AJ80" s="286"/>
      <c r="AK80" s="44"/>
      <c r="AL80" s="44"/>
      <c r="AM80" s="45"/>
    </row>
    <row r="81" spans="21:39" ht="14.25" thickBot="1">
      <c r="V81" s="37">
        <v>3</v>
      </c>
      <c r="W81" s="108">
        <f>IF($Z78=1,W60,IF($Z78=2,W67,W74))</f>
        <v>-275000</v>
      </c>
      <c r="X81" s="38">
        <f>IF($Z78=1,X60,IF($Z78=2,X67,X74))</f>
        <v>4100000</v>
      </c>
      <c r="Y81" s="31"/>
      <c r="Z81" s="31"/>
      <c r="AA81" s="38">
        <v>3</v>
      </c>
      <c r="AB81" s="108">
        <f>IF($Z78=1,AB60,IF($Z78=2,AB67,AB74))</f>
        <v>-275000</v>
      </c>
      <c r="AC81" s="40">
        <f>IF($Z78=1,AC60,IF($Z78=2,AC67,AC74))</f>
        <v>4100000</v>
      </c>
      <c r="AF81" s="18"/>
      <c r="AG81" s="42">
        <v>10</v>
      </c>
      <c r="AH81" s="43"/>
      <c r="AI81" s="285"/>
      <c r="AJ81" s="286"/>
      <c r="AK81" s="44"/>
      <c r="AL81" s="44"/>
      <c r="AM81" s="45"/>
    </row>
    <row r="82" spans="21:39" ht="14.25" thickBot="1">
      <c r="V82" s="37">
        <v>4</v>
      </c>
      <c r="W82" s="108">
        <f>IF($Z78=1,W61,IF($Z78=2,W68,W75))</f>
        <v>-685000</v>
      </c>
      <c r="X82" s="38">
        <f>IF($Z78=1,X61,IF($Z78=2,X68,X75))</f>
        <v>7700000</v>
      </c>
      <c r="Y82" s="31"/>
      <c r="Z82" s="31"/>
      <c r="AA82" s="38">
        <v>4</v>
      </c>
      <c r="AB82" s="108">
        <f>IF($Z78=1,AB61,IF($Z78=2,AB68,AB75))</f>
        <v>-685000</v>
      </c>
      <c r="AC82" s="40">
        <f>IF($Z78=1,AC61,IF($Z78=2,AC68,AC75))</f>
        <v>7700000</v>
      </c>
      <c r="AF82" s="18"/>
      <c r="AG82" s="42">
        <v>11</v>
      </c>
      <c r="AH82" s="103"/>
      <c r="AI82" s="285"/>
      <c r="AJ82" s="286"/>
      <c r="AK82" s="44"/>
      <c r="AL82" s="57" t="s">
        <v>13</v>
      </c>
      <c r="AM82" s="58">
        <f>INT(VLOOKUP(AL79,AG72:AJ82,3,FALSE))</f>
        <v>0</v>
      </c>
    </row>
    <row r="83" spans="21:39" ht="14.25" thickBot="1">
      <c r="V83" s="37">
        <v>5</v>
      </c>
      <c r="W83" s="108">
        <f>IF($Z78=1,W62,IF($Z78=2,W69,W76))</f>
        <v>-1455000</v>
      </c>
      <c r="X83" s="38">
        <f>IF($Z78=1,X62,IF($Z78=2,X69,X76))</f>
        <v>10000000</v>
      </c>
      <c r="Y83" s="31"/>
      <c r="Z83" s="31"/>
      <c r="AA83" s="38">
        <v>5</v>
      </c>
      <c r="AB83" s="108">
        <f>IF($Z78=1,AB62,IF($Z78=2,AB69,AB76))</f>
        <v>-1455000</v>
      </c>
      <c r="AC83" s="40">
        <f>IF($Z78=1,AC62,IF($Z78=2,AC69,AC76))</f>
        <v>10000000</v>
      </c>
      <c r="AF83" s="18"/>
      <c r="AG83" s="59"/>
      <c r="AH83" s="60"/>
      <c r="AI83" s="60"/>
      <c r="AJ83" s="60"/>
      <c r="AK83" s="60"/>
      <c r="AL83" s="60"/>
      <c r="AM83" s="61"/>
    </row>
    <row r="84" spans="21:39" ht="14.25" thickBot="1">
      <c r="V84" s="37">
        <v>6</v>
      </c>
      <c r="W84" s="108">
        <f>IF($Z78=1,W63,IF($Z78=2,W70,W77))</f>
        <v>-1955000</v>
      </c>
      <c r="X84" s="38"/>
      <c r="Y84" s="31"/>
      <c r="Z84" s="31"/>
      <c r="AA84" s="38">
        <v>6</v>
      </c>
      <c r="AB84" s="108">
        <f>IF($Z78=1,AB63,IF($Z78=2,AB70,AB77))</f>
        <v>-1955000</v>
      </c>
      <c r="AC84" s="40"/>
      <c r="AF84" s="32">
        <v>6</v>
      </c>
      <c r="AG84" s="116">
        <v>1</v>
      </c>
      <c r="AH84" s="117">
        <v>651000</v>
      </c>
      <c r="AI84" s="302">
        <v>0</v>
      </c>
      <c r="AJ84" s="302"/>
      <c r="AK84" s="44"/>
      <c r="AL84" s="44"/>
      <c r="AM84" s="45"/>
    </row>
    <row r="85" spans="21:39" ht="14.25" thickBot="1">
      <c r="V85" s="49"/>
      <c r="W85" s="31"/>
      <c r="X85" s="113"/>
      <c r="Y85" s="31"/>
      <c r="Z85" s="31"/>
      <c r="AA85" s="31"/>
      <c r="AB85" s="31"/>
      <c r="AC85" s="114"/>
      <c r="AF85" s="18"/>
      <c r="AG85" s="42">
        <v>2</v>
      </c>
      <c r="AH85" s="43">
        <v>1900000</v>
      </c>
      <c r="AI85" s="285">
        <f>$G$18-650000</f>
        <v>-650000</v>
      </c>
      <c r="AJ85" s="286"/>
      <c r="AK85" s="44"/>
      <c r="AL85" s="44"/>
      <c r="AM85" s="45"/>
    </row>
    <row r="86" spans="21:39">
      <c r="V86" s="49"/>
      <c r="W86" s="31"/>
      <c r="X86" s="55">
        <f>+IF(H14&lt;X79,1,IF(H14&lt;X80,2,IF(H14&lt;X81,3,IF(H14&lt;X82,4,IF(H14&lt;X83,5,6)))))</f>
        <v>1</v>
      </c>
      <c r="Y86" s="31"/>
      <c r="Z86" s="31"/>
      <c r="AA86" s="31"/>
      <c r="AB86" s="31"/>
      <c r="AC86" s="55">
        <f>+IF(H14&lt;AC79,1,IF(H14&lt;AC80,2,IF(H14&lt;AC81,3,IF(H14&lt;AC82,4,IF(H14&lt;AC83,5,6)))))</f>
        <v>1</v>
      </c>
      <c r="AF86" s="18"/>
      <c r="AG86" s="42">
        <v>3</v>
      </c>
      <c r="AH86" s="43">
        <v>3600000</v>
      </c>
      <c r="AI86" s="285">
        <f>ROUNDDOWN($G$18/4,-3)*2.8-80000</f>
        <v>-80000</v>
      </c>
      <c r="AJ86" s="286"/>
      <c r="AK86" s="44"/>
      <c r="AL86" s="44"/>
      <c r="AM86" s="45"/>
    </row>
    <row r="87" spans="21:39" ht="14.25" thickBot="1">
      <c r="V87" s="49"/>
      <c r="W87" s="31"/>
      <c r="X87" s="56">
        <f>ROUNDDOWN(LOOKUP(X86,V79:V84,W79:W84),0)</f>
        <v>0</v>
      </c>
      <c r="Y87" s="31"/>
      <c r="Z87" s="31"/>
      <c r="AA87" s="31"/>
      <c r="AB87" s="31"/>
      <c r="AC87" s="56">
        <f>ROUNDDOWN(LOOKUP(AC86,AA79:AA84,AB79:AB84),0)</f>
        <v>0</v>
      </c>
      <c r="AF87" s="18"/>
      <c r="AG87" s="42">
        <v>4</v>
      </c>
      <c r="AH87" s="43">
        <v>6600000</v>
      </c>
      <c r="AI87" s="285">
        <f>ROUNDDOWN($G$18/4,-3)*3.2-440000</f>
        <v>-440000</v>
      </c>
      <c r="AJ87" s="286"/>
      <c r="AK87" s="44"/>
      <c r="AL87" s="44"/>
      <c r="AM87" s="45"/>
    </row>
    <row r="88" spans="21:39" ht="14.25" thickBot="1">
      <c r="V88" s="49"/>
      <c r="W88" s="31"/>
      <c r="X88" s="31"/>
      <c r="Y88" s="31"/>
      <c r="Z88" s="31"/>
      <c r="AA88" s="31"/>
      <c r="AB88" s="31"/>
      <c r="AC88" s="50"/>
      <c r="AF88" s="18"/>
      <c r="AG88" s="42">
        <v>5</v>
      </c>
      <c r="AH88" s="43">
        <v>8500000</v>
      </c>
      <c r="AI88" s="285">
        <f>$G$18*0.9-1100000</f>
        <v>-1100000</v>
      </c>
      <c r="AJ88" s="286"/>
      <c r="AK88" s="44"/>
      <c r="AL88" s="44"/>
      <c r="AM88" s="45"/>
    </row>
    <row r="89" spans="21:39" ht="14.25" thickBot="1">
      <c r="V89" s="62"/>
      <c r="W89" s="63" t="s">
        <v>30</v>
      </c>
      <c r="X89" s="64">
        <f>+IF(OR(F14="40歳～64歳",F14="*65歳～74歳*"),X87,IF(F14="65歳～74歳",AC87,0))</f>
        <v>0</v>
      </c>
      <c r="Y89" s="65"/>
      <c r="Z89" s="65"/>
      <c r="AA89" s="65"/>
      <c r="AB89" s="65"/>
      <c r="AC89" s="66"/>
      <c r="AF89" s="18"/>
      <c r="AG89" s="42">
        <v>6</v>
      </c>
      <c r="AH89" s="43">
        <v>1000000000000</v>
      </c>
      <c r="AI89" s="285">
        <f>$G$18-1950000</f>
        <v>-1950000</v>
      </c>
      <c r="AJ89" s="286"/>
      <c r="AK89" s="44"/>
      <c r="AL89" s="44"/>
      <c r="AM89" s="45"/>
    </row>
    <row r="90" spans="21:39" ht="14.25" thickBot="1">
      <c r="U90" s="27">
        <v>3</v>
      </c>
      <c r="V90" s="28" t="s">
        <v>20</v>
      </c>
      <c r="W90" s="29"/>
      <c r="X90" s="29"/>
      <c r="Y90" s="110">
        <v>10000000</v>
      </c>
      <c r="Z90" s="106" t="s">
        <v>53</v>
      </c>
      <c r="AA90" s="29"/>
      <c r="AB90" s="29" t="s">
        <v>21</v>
      </c>
      <c r="AC90" s="30"/>
      <c r="AF90" s="18"/>
      <c r="AG90" s="42">
        <v>7</v>
      </c>
      <c r="AH90" s="43"/>
      <c r="AI90" s="285"/>
      <c r="AJ90" s="286"/>
      <c r="AK90" s="44"/>
      <c r="AL90" s="51">
        <f>IF($G18&lt;$AH84,1,IF($G18&lt;$AH85,2,IF($G18&lt;AH86,3,IF($G18&lt;$AH87,4,IF($G18&lt;$AH88,5,0)))))</f>
        <v>1</v>
      </c>
      <c r="AM90" s="52">
        <f>IF($G18&lt;$AH88,0,IF($G18&lt;$AH89,6,IF($G18&lt;$AH90,7,IF($G18&lt;AH91,8,IF($G18&lt;$AH92,9,IF($G18&lt;$AH93,10,11))))))</f>
        <v>0</v>
      </c>
    </row>
    <row r="91" spans="21:39">
      <c r="V91" s="37">
        <v>1</v>
      </c>
      <c r="W91" s="38">
        <v>0</v>
      </c>
      <c r="X91" s="39">
        <v>600001</v>
      </c>
      <c r="Y91" s="31"/>
      <c r="Z91" s="31"/>
      <c r="AA91" s="38">
        <v>1</v>
      </c>
      <c r="AB91" s="38">
        <v>0</v>
      </c>
      <c r="AC91" s="40">
        <v>1100001</v>
      </c>
      <c r="AF91" s="18"/>
      <c r="AG91" s="42">
        <v>8</v>
      </c>
      <c r="AH91" s="43"/>
      <c r="AI91" s="285"/>
      <c r="AJ91" s="286"/>
      <c r="AK91" s="44"/>
      <c r="AL91" s="53">
        <f>SUM(AL90:AM90)</f>
        <v>1</v>
      </c>
      <c r="AM91" s="54"/>
    </row>
    <row r="92" spans="21:39">
      <c r="V92" s="37">
        <v>2</v>
      </c>
      <c r="W92" s="48">
        <f>+H15-600000</f>
        <v>-600000</v>
      </c>
      <c r="X92" s="39">
        <v>1300000</v>
      </c>
      <c r="Y92" s="31"/>
      <c r="Z92" s="31"/>
      <c r="AA92" s="38">
        <v>2</v>
      </c>
      <c r="AB92" s="48">
        <f>+H15-1100000</f>
        <v>-1100000</v>
      </c>
      <c r="AC92" s="40">
        <v>3300000</v>
      </c>
      <c r="AF92" s="18"/>
      <c r="AG92" s="42">
        <v>9</v>
      </c>
      <c r="AH92" s="43"/>
      <c r="AI92" s="285"/>
      <c r="AJ92" s="286"/>
      <c r="AK92" s="44"/>
      <c r="AL92" s="44"/>
      <c r="AM92" s="45"/>
    </row>
    <row r="93" spans="21:39" ht="14.25" thickBot="1">
      <c r="V93" s="37">
        <v>3</v>
      </c>
      <c r="W93" s="38">
        <f>+H15*0.75-275000</f>
        <v>-275000</v>
      </c>
      <c r="X93" s="39">
        <v>4100000</v>
      </c>
      <c r="Y93" s="31"/>
      <c r="Z93" s="31"/>
      <c r="AA93" s="38">
        <v>3</v>
      </c>
      <c r="AB93" s="38">
        <f>+H15*0.75-275000</f>
        <v>-275000</v>
      </c>
      <c r="AC93" s="40">
        <v>4100000</v>
      </c>
      <c r="AF93" s="18"/>
      <c r="AG93" s="42">
        <v>10</v>
      </c>
      <c r="AH93" s="43"/>
      <c r="AI93" s="285"/>
      <c r="AJ93" s="286"/>
      <c r="AK93" s="44"/>
      <c r="AL93" s="44"/>
      <c r="AM93" s="45"/>
    </row>
    <row r="94" spans="21:39" ht="14.25" thickBot="1">
      <c r="V94" s="37">
        <v>4</v>
      </c>
      <c r="W94" s="38">
        <f>+H15*0.85-685000</f>
        <v>-685000</v>
      </c>
      <c r="X94" s="39">
        <v>7700000</v>
      </c>
      <c r="Y94" s="31"/>
      <c r="Z94" s="31"/>
      <c r="AA94" s="38">
        <v>4</v>
      </c>
      <c r="AB94" s="38">
        <f>+H15*0.85-685000</f>
        <v>-685000</v>
      </c>
      <c r="AC94" s="40">
        <v>7700000</v>
      </c>
      <c r="AF94" s="18"/>
      <c r="AG94" s="42">
        <v>11</v>
      </c>
      <c r="AH94" s="103"/>
      <c r="AI94" s="285"/>
      <c r="AJ94" s="286"/>
      <c r="AK94" s="44"/>
      <c r="AL94" s="57" t="s">
        <v>13</v>
      </c>
      <c r="AM94" s="58">
        <f>INT(VLOOKUP(AL91,AG84:AJ94,3,FALSE))</f>
        <v>0</v>
      </c>
    </row>
    <row r="95" spans="21:39" ht="14.25" thickBot="1">
      <c r="V95" s="37">
        <v>5</v>
      </c>
      <c r="W95" s="38">
        <f>+H15*0.95-1455000</f>
        <v>-1455000</v>
      </c>
      <c r="X95" s="39">
        <v>10000000</v>
      </c>
      <c r="Y95" s="31"/>
      <c r="Z95" s="31"/>
      <c r="AA95" s="38">
        <v>5</v>
      </c>
      <c r="AB95" s="38">
        <f>+H15*0.95-1455000</f>
        <v>-1455000</v>
      </c>
      <c r="AC95" s="40">
        <v>10000000</v>
      </c>
      <c r="AF95" s="18"/>
      <c r="AG95" s="59"/>
      <c r="AH95" s="60"/>
      <c r="AI95" s="60"/>
      <c r="AJ95" s="60"/>
      <c r="AK95" s="60"/>
      <c r="AL95" s="60"/>
      <c r="AM95" s="61"/>
    </row>
    <row r="96" spans="21:39" ht="14.25" thickBot="1">
      <c r="V96" s="37">
        <v>6</v>
      </c>
      <c r="W96" s="48">
        <f>+H15-1955000</f>
        <v>-1955000</v>
      </c>
      <c r="X96" s="39"/>
      <c r="Y96" s="31"/>
      <c r="Z96" s="31"/>
      <c r="AA96" s="38">
        <v>6</v>
      </c>
      <c r="AB96" s="48">
        <f>+H15-1955000</f>
        <v>-1955000</v>
      </c>
      <c r="AC96" s="40"/>
      <c r="AF96" s="32">
        <v>7</v>
      </c>
      <c r="AG96" s="116">
        <v>1</v>
      </c>
      <c r="AH96" s="117">
        <v>651000</v>
      </c>
      <c r="AI96" s="302">
        <v>0</v>
      </c>
      <c r="AJ96" s="302"/>
      <c r="AK96" s="44"/>
      <c r="AL96" s="44"/>
      <c r="AM96" s="45"/>
    </row>
    <row r="97" spans="22:39">
      <c r="V97" s="49"/>
      <c r="W97" s="31"/>
      <c r="X97" s="31"/>
      <c r="Y97" s="109">
        <v>20000000</v>
      </c>
      <c r="Z97" s="107" t="s">
        <v>54</v>
      </c>
      <c r="AA97" s="31"/>
      <c r="AB97" s="31"/>
      <c r="AC97" s="50"/>
      <c r="AF97" s="18"/>
      <c r="AG97" s="42">
        <v>2</v>
      </c>
      <c r="AH97" s="43">
        <v>1900000</v>
      </c>
      <c r="AI97" s="285">
        <f>$G$19-650000</f>
        <v>-650000</v>
      </c>
      <c r="AJ97" s="286"/>
      <c r="AK97" s="44"/>
      <c r="AL97" s="44"/>
      <c r="AM97" s="45"/>
    </row>
    <row r="98" spans="22:39">
      <c r="V98" s="37">
        <v>1</v>
      </c>
      <c r="W98" s="38">
        <v>0</v>
      </c>
      <c r="X98" s="39">
        <v>500001</v>
      </c>
      <c r="Y98" s="31"/>
      <c r="Z98" s="31"/>
      <c r="AA98" s="38">
        <v>1</v>
      </c>
      <c r="AB98" s="38">
        <v>0</v>
      </c>
      <c r="AC98" s="40">
        <v>1000001</v>
      </c>
      <c r="AF98" s="18"/>
      <c r="AG98" s="42">
        <v>3</v>
      </c>
      <c r="AH98" s="43">
        <v>3600000</v>
      </c>
      <c r="AI98" s="285">
        <f>ROUNDDOWN($G$19/4,-3)*2.8-80000</f>
        <v>-80000</v>
      </c>
      <c r="AJ98" s="286"/>
      <c r="AK98" s="44"/>
      <c r="AL98" s="44"/>
      <c r="AM98" s="45"/>
    </row>
    <row r="99" spans="22:39">
      <c r="V99" s="37">
        <v>2</v>
      </c>
      <c r="W99" s="48">
        <f>+H15-500000</f>
        <v>-500000</v>
      </c>
      <c r="X99" s="39">
        <v>1300000</v>
      </c>
      <c r="Y99" s="31"/>
      <c r="Z99" s="31"/>
      <c r="AA99" s="38">
        <v>2</v>
      </c>
      <c r="AB99" s="48">
        <f>+H15-1000000</f>
        <v>-1000000</v>
      </c>
      <c r="AC99" s="40">
        <v>3300000</v>
      </c>
      <c r="AF99" s="18"/>
      <c r="AG99" s="42">
        <v>4</v>
      </c>
      <c r="AH99" s="43">
        <v>6600000</v>
      </c>
      <c r="AI99" s="285">
        <f>ROUNDDOWN($G$19/4,-3)*3.2-440000</f>
        <v>-440000</v>
      </c>
      <c r="AJ99" s="286"/>
      <c r="AK99" s="44"/>
      <c r="AL99" s="44"/>
      <c r="AM99" s="45"/>
    </row>
    <row r="100" spans="22:39">
      <c r="V100" s="37">
        <v>3</v>
      </c>
      <c r="W100" s="38">
        <f>+H15*0.75-175000</f>
        <v>-175000</v>
      </c>
      <c r="X100" s="39">
        <v>4100000</v>
      </c>
      <c r="Y100" s="31"/>
      <c r="Z100" s="31"/>
      <c r="AA100" s="38">
        <v>3</v>
      </c>
      <c r="AB100" s="38">
        <f>+H15*0.75-175000</f>
        <v>-175000</v>
      </c>
      <c r="AC100" s="40">
        <v>4100000</v>
      </c>
      <c r="AF100" s="18"/>
      <c r="AG100" s="42">
        <v>5</v>
      </c>
      <c r="AH100" s="43">
        <v>8500000</v>
      </c>
      <c r="AI100" s="285">
        <f>$G$19*0.9-1100000</f>
        <v>-1100000</v>
      </c>
      <c r="AJ100" s="286"/>
      <c r="AK100" s="44"/>
      <c r="AL100" s="44"/>
      <c r="AM100" s="45"/>
    </row>
    <row r="101" spans="22:39">
      <c r="V101" s="37">
        <v>4</v>
      </c>
      <c r="W101" s="38">
        <f>+H15*0.85-585000</f>
        <v>-585000</v>
      </c>
      <c r="X101" s="39">
        <v>7700000</v>
      </c>
      <c r="Y101" s="31"/>
      <c r="Z101" s="31"/>
      <c r="AA101" s="38">
        <v>4</v>
      </c>
      <c r="AB101" s="38">
        <f>+H15*0.85-585000</f>
        <v>-585000</v>
      </c>
      <c r="AC101" s="40">
        <v>7700000</v>
      </c>
      <c r="AF101" s="18"/>
      <c r="AG101" s="42">
        <v>6</v>
      </c>
      <c r="AH101" s="43">
        <v>1000000000000</v>
      </c>
      <c r="AI101" s="285">
        <f>$G$19-1950000</f>
        <v>-1950000</v>
      </c>
      <c r="AJ101" s="286"/>
      <c r="AK101" s="44"/>
      <c r="AL101" s="44"/>
      <c r="AM101" s="45"/>
    </row>
    <row r="102" spans="22:39">
      <c r="V102" s="37">
        <v>5</v>
      </c>
      <c r="W102" s="38">
        <f>+H15*0.95-1355000</f>
        <v>-1355000</v>
      </c>
      <c r="X102" s="39">
        <v>10000000</v>
      </c>
      <c r="Y102" s="31"/>
      <c r="Z102" s="31"/>
      <c r="AA102" s="38">
        <v>5</v>
      </c>
      <c r="AB102" s="38">
        <f>+H15*0.95-1355000</f>
        <v>-1355000</v>
      </c>
      <c r="AC102" s="40">
        <v>10000000</v>
      </c>
      <c r="AF102" s="18"/>
      <c r="AG102" s="42">
        <v>7</v>
      </c>
      <c r="AH102" s="43"/>
      <c r="AI102" s="285"/>
      <c r="AJ102" s="286"/>
      <c r="AK102" s="44"/>
      <c r="AL102" s="51">
        <f>IF($G19&lt;$AH96,1,IF($G19&lt;$AH97,2,IF($G19&lt;AH98,3,IF($G19&lt;$AH99,4,IF($G19&lt;$AH100,5,0)))))</f>
        <v>1</v>
      </c>
      <c r="AM102" s="52">
        <f>IF($G19&lt;$AH100,0,IF($G19&lt;$AH101,6,IF($G19&lt;$AH102,7,IF($G19&lt;AH103,8,IF($G19&lt;$AH104,9,IF($G19&lt;$AH105,10,11))))))</f>
        <v>0</v>
      </c>
    </row>
    <row r="103" spans="22:39">
      <c r="V103" s="37">
        <v>6</v>
      </c>
      <c r="W103" s="48">
        <f>+H15-1855000</f>
        <v>-1855000</v>
      </c>
      <c r="X103" s="39"/>
      <c r="Y103" s="31"/>
      <c r="Z103" s="31"/>
      <c r="AA103" s="38">
        <v>6</v>
      </c>
      <c r="AB103" s="48">
        <f>+H15-1855000</f>
        <v>-1855000</v>
      </c>
      <c r="AC103" s="40"/>
      <c r="AF103" s="18"/>
      <c r="AG103" s="42">
        <v>8</v>
      </c>
      <c r="AH103" s="43"/>
      <c r="AI103" s="285"/>
      <c r="AJ103" s="286"/>
      <c r="AK103" s="44"/>
      <c r="AL103" s="53">
        <f>SUM(AL102:AM102)</f>
        <v>1</v>
      </c>
      <c r="AM103" s="54"/>
    </row>
    <row r="104" spans="22:39">
      <c r="V104" s="49"/>
      <c r="W104" s="105"/>
      <c r="X104" s="104"/>
      <c r="Y104" s="109">
        <v>20000000</v>
      </c>
      <c r="Z104" s="107" t="s">
        <v>55</v>
      </c>
      <c r="AA104" s="31"/>
      <c r="AB104" s="105"/>
      <c r="AC104" s="50"/>
      <c r="AF104" s="18"/>
      <c r="AG104" s="42">
        <v>9</v>
      </c>
      <c r="AH104" s="43"/>
      <c r="AI104" s="285"/>
      <c r="AJ104" s="286"/>
      <c r="AK104" s="44"/>
      <c r="AL104" s="44"/>
      <c r="AM104" s="45"/>
    </row>
    <row r="105" spans="22:39" ht="14.25" thickBot="1">
      <c r="V105" s="37">
        <v>1</v>
      </c>
      <c r="W105" s="38">
        <v>0</v>
      </c>
      <c r="X105" s="39">
        <v>400001</v>
      </c>
      <c r="Y105" s="31"/>
      <c r="Z105" s="31"/>
      <c r="AA105" s="38">
        <v>1</v>
      </c>
      <c r="AB105" s="38">
        <v>0</v>
      </c>
      <c r="AC105" s="40">
        <v>900001</v>
      </c>
      <c r="AF105" s="18"/>
      <c r="AG105" s="42">
        <v>10</v>
      </c>
      <c r="AH105" s="43"/>
      <c r="AI105" s="285"/>
      <c r="AJ105" s="286"/>
      <c r="AK105" s="44"/>
      <c r="AL105" s="44"/>
      <c r="AM105" s="45"/>
    </row>
    <row r="106" spans="22:39" ht="14.25" thickBot="1">
      <c r="V106" s="37">
        <v>2</v>
      </c>
      <c r="W106" s="48">
        <f>+H15-400000</f>
        <v>-400000</v>
      </c>
      <c r="X106" s="39">
        <v>1300000</v>
      </c>
      <c r="Y106" s="31"/>
      <c r="Z106" s="31"/>
      <c r="AA106" s="38">
        <v>2</v>
      </c>
      <c r="AB106" s="48">
        <f>+H15-900000</f>
        <v>-900000</v>
      </c>
      <c r="AC106" s="40">
        <v>3300000</v>
      </c>
      <c r="AF106" s="18"/>
      <c r="AG106" s="67">
        <v>11</v>
      </c>
      <c r="AH106" s="115"/>
      <c r="AI106" s="300"/>
      <c r="AJ106" s="301"/>
      <c r="AK106" s="60"/>
      <c r="AL106" s="57" t="s">
        <v>13</v>
      </c>
      <c r="AM106" s="58">
        <f>INT(VLOOKUP(AL103,AG96:AJ106,3,FALSE))</f>
        <v>0</v>
      </c>
    </row>
    <row r="107" spans="22:39">
      <c r="V107" s="37">
        <v>3</v>
      </c>
      <c r="W107" s="38">
        <f>+H15*0.75-75000</f>
        <v>-75000</v>
      </c>
      <c r="X107" s="39">
        <v>4100000</v>
      </c>
      <c r="Y107" s="31"/>
      <c r="Z107" s="31"/>
      <c r="AA107" s="38">
        <v>3</v>
      </c>
      <c r="AB107" s="38">
        <f>+H15*0.75-75000</f>
        <v>-75000</v>
      </c>
      <c r="AC107" s="40">
        <v>4100000</v>
      </c>
      <c r="AF107" s="18"/>
    </row>
    <row r="108" spans="22:39">
      <c r="V108" s="37">
        <v>4</v>
      </c>
      <c r="W108" s="38">
        <f>+H15*0.85-485000</f>
        <v>-485000</v>
      </c>
      <c r="X108" s="39">
        <v>7700000</v>
      </c>
      <c r="Y108" s="31"/>
      <c r="Z108" s="31"/>
      <c r="AA108" s="38">
        <v>4</v>
      </c>
      <c r="AB108" s="38">
        <f>+H15*0.85-485000</f>
        <v>-485000</v>
      </c>
      <c r="AC108" s="40">
        <v>7700000</v>
      </c>
      <c r="AF108" s="18"/>
    </row>
    <row r="109" spans="22:39">
      <c r="V109" s="37">
        <v>5</v>
      </c>
      <c r="W109" s="38">
        <f>+H15*0.95-1255000</f>
        <v>-1255000</v>
      </c>
      <c r="X109" s="39">
        <v>10000000</v>
      </c>
      <c r="Y109" s="31"/>
      <c r="Z109" s="31"/>
      <c r="AA109" s="38">
        <v>5</v>
      </c>
      <c r="AB109" s="38">
        <f>+H15*0.95-1255000</f>
        <v>-1255000</v>
      </c>
      <c r="AC109" s="40">
        <v>10000000</v>
      </c>
    </row>
    <row r="110" spans="22:39" ht="14.25" thickBot="1">
      <c r="V110" s="37">
        <v>6</v>
      </c>
      <c r="W110" s="48">
        <f>+H15-1755000</f>
        <v>-1755000</v>
      </c>
      <c r="X110" s="39"/>
      <c r="Y110" s="31"/>
      <c r="Z110" s="31"/>
      <c r="AA110" s="38">
        <v>6</v>
      </c>
      <c r="AB110" s="48">
        <f>+H15-1755000</f>
        <v>-1755000</v>
      </c>
      <c r="AC110" s="40"/>
    </row>
    <row r="111" spans="22:39" ht="14.25" thickBot="1">
      <c r="V111" s="49"/>
      <c r="W111" s="31"/>
      <c r="X111" s="31"/>
      <c r="Y111" s="44" t="s">
        <v>57</v>
      </c>
      <c r="Z111" s="111">
        <f>IF(Y15&lt;=Y90,1,IF(Y15&lt;=Y97,2,3))</f>
        <v>1</v>
      </c>
      <c r="AA111" s="31"/>
      <c r="AB111" s="31"/>
      <c r="AC111" s="50"/>
    </row>
    <row r="112" spans="22:39">
      <c r="V112" s="37">
        <v>1</v>
      </c>
      <c r="W112" s="108">
        <f>IF($Z111=1,W91,IF($Z111=2,W98,W105))</f>
        <v>0</v>
      </c>
      <c r="X112" s="38">
        <f>IF($Z111=1,X91,IF($Z111=2,X98,X105))</f>
        <v>600001</v>
      </c>
      <c r="Y112" s="44" t="s">
        <v>58</v>
      </c>
      <c r="Z112" s="31"/>
      <c r="AA112" s="38">
        <v>1</v>
      </c>
      <c r="AB112" s="108">
        <f>IF($Z111=1,AB91,IF($Z111=2,AB98,AB105))</f>
        <v>0</v>
      </c>
      <c r="AC112" s="40">
        <f>IF($Z111=1,AC91,IF($Z111=2,AC98,AC105))</f>
        <v>1100001</v>
      </c>
    </row>
    <row r="113" spans="21:29">
      <c r="V113" s="37">
        <v>2</v>
      </c>
      <c r="W113" s="108">
        <f>IF($Z111=1,W92,IF($Z111=2,W99,W106))</f>
        <v>-600000</v>
      </c>
      <c r="X113" s="38">
        <f>IF($Z111=1,X92,IF($Z111=2,X99,X106))</f>
        <v>1300000</v>
      </c>
      <c r="Y113" s="31"/>
      <c r="Z113" s="31"/>
      <c r="AA113" s="38">
        <v>2</v>
      </c>
      <c r="AB113" s="108">
        <f>IF($Z111=1,AB92,IF($Z111=2,AB99,AB106))</f>
        <v>-1100000</v>
      </c>
      <c r="AC113" s="40">
        <f>IF($Z111=1,AC92,IF($Z111=2,AC99,AC106))</f>
        <v>3300000</v>
      </c>
    </row>
    <row r="114" spans="21:29">
      <c r="V114" s="37">
        <v>3</v>
      </c>
      <c r="W114" s="108">
        <f>IF($Z111=1,W93,IF($Z111=2,W100,W107))</f>
        <v>-275000</v>
      </c>
      <c r="X114" s="38">
        <f>IF($Z111=1,X93,IF($Z111=2,X100,X107))</f>
        <v>4100000</v>
      </c>
      <c r="Y114" s="31"/>
      <c r="Z114" s="31"/>
      <c r="AA114" s="38">
        <v>3</v>
      </c>
      <c r="AB114" s="108">
        <f>IF($Z111=1,AB93,IF($Z111=2,AB100,AB107))</f>
        <v>-275000</v>
      </c>
      <c r="AC114" s="40">
        <f>IF($Z111=1,AC93,IF($Z111=2,AC100,AC107))</f>
        <v>4100000</v>
      </c>
    </row>
    <row r="115" spans="21:29">
      <c r="V115" s="37">
        <v>4</v>
      </c>
      <c r="W115" s="108">
        <f>IF($Z111=1,W94,IF($Z111=2,W101,W108))</f>
        <v>-685000</v>
      </c>
      <c r="X115" s="38">
        <f>IF($Z111=1,X94,IF($Z111=2,X101,X108))</f>
        <v>7700000</v>
      </c>
      <c r="Y115" s="31"/>
      <c r="Z115" s="31"/>
      <c r="AA115" s="38">
        <v>4</v>
      </c>
      <c r="AB115" s="108">
        <f>IF($Z111=1,AB94,IF($Z111=2,AB101,AB108))</f>
        <v>-685000</v>
      </c>
      <c r="AC115" s="40">
        <f>IF($Z111=1,AC94,IF($Z111=2,AC101,AC108))</f>
        <v>7700000</v>
      </c>
    </row>
    <row r="116" spans="21:29">
      <c r="V116" s="37">
        <v>5</v>
      </c>
      <c r="W116" s="108">
        <f>IF($Z111=1,W95,IF($Z111=2,W102,W109))</f>
        <v>-1455000</v>
      </c>
      <c r="X116" s="38">
        <f>IF($Z111=1,X95,IF($Z111=2,X102,X109))</f>
        <v>10000000</v>
      </c>
      <c r="Y116" s="31"/>
      <c r="Z116" s="31"/>
      <c r="AA116" s="38">
        <v>5</v>
      </c>
      <c r="AB116" s="108">
        <f>IF($Z111=1,AB95,IF($Z111=2,AB102,AB109))</f>
        <v>-1455000</v>
      </c>
      <c r="AC116" s="40">
        <f>IF($Z111=1,AC95,IF($Z111=2,AC102,AC109))</f>
        <v>10000000</v>
      </c>
    </row>
    <row r="117" spans="21:29">
      <c r="V117" s="37">
        <v>6</v>
      </c>
      <c r="W117" s="108">
        <f>IF($Z111=1,W96,IF($Z111=2,W103,W110))</f>
        <v>-1955000</v>
      </c>
      <c r="X117" s="38"/>
      <c r="Y117" s="31"/>
      <c r="Z117" s="31"/>
      <c r="AA117" s="38">
        <v>6</v>
      </c>
      <c r="AB117" s="108">
        <f>IF($Z111=1,AB96,IF($Z111=2,AB103,AB110))</f>
        <v>-1955000</v>
      </c>
      <c r="AC117" s="40"/>
    </row>
    <row r="118" spans="21:29" ht="14.25" thickBot="1">
      <c r="V118" s="49"/>
      <c r="W118" s="31"/>
      <c r="X118" s="113"/>
      <c r="Y118" s="31"/>
      <c r="Z118" s="31"/>
      <c r="AA118" s="31"/>
      <c r="AB118" s="31"/>
      <c r="AC118" s="114"/>
    </row>
    <row r="119" spans="21:29">
      <c r="V119" s="49"/>
      <c r="W119" s="31"/>
      <c r="X119" s="55">
        <f>+IF(H15&lt;X112,1,IF(H15&lt;X113,2,IF(H15&lt;X114,3,IF(H15&lt;X115,4,IF(H15&lt;X116,5,6)))))</f>
        <v>1</v>
      </c>
      <c r="Y119" s="31"/>
      <c r="Z119" s="31"/>
      <c r="AA119" s="31"/>
      <c r="AB119" s="31"/>
      <c r="AC119" s="55">
        <f>+IF(H15&lt;AC112,1,IF(H15&lt;AC113,2,IF(H15&lt;AC114,3,IF(H15&lt;AC115,4,IF(H15&lt;AC116,5,6)))))</f>
        <v>1</v>
      </c>
    </row>
    <row r="120" spans="21:29" ht="14.25" thickBot="1">
      <c r="V120" s="49"/>
      <c r="W120" s="31"/>
      <c r="X120" s="56">
        <f>ROUNDDOWN(LOOKUP(X119,V112:V117,W112:W117),0)</f>
        <v>0</v>
      </c>
      <c r="Y120" s="31"/>
      <c r="Z120" s="31"/>
      <c r="AA120" s="31"/>
      <c r="AB120" s="31"/>
      <c r="AC120" s="56">
        <f>ROUNDDOWN(LOOKUP(AC119,AA112:AA117,AB112:AB117),0)</f>
        <v>0</v>
      </c>
    </row>
    <row r="121" spans="21:29" ht="14.25" thickBot="1">
      <c r="V121" s="49"/>
      <c r="W121" s="31"/>
      <c r="X121" s="31"/>
      <c r="Y121" s="31"/>
      <c r="Z121" s="31"/>
      <c r="AA121" s="31"/>
      <c r="AB121" s="31"/>
      <c r="AC121" s="50"/>
    </row>
    <row r="122" spans="21:29" ht="14.25" thickBot="1">
      <c r="V122" s="62"/>
      <c r="W122" s="63" t="s">
        <v>30</v>
      </c>
      <c r="X122" s="64">
        <f>+IF(OR(F15="40歳～64歳",F15="*65歳～74歳*"),X120,IF(F15="65歳～74歳",AC120,0))</f>
        <v>0</v>
      </c>
      <c r="Y122" s="65"/>
      <c r="Z122" s="65"/>
      <c r="AA122" s="65"/>
      <c r="AB122" s="65"/>
      <c r="AC122" s="66"/>
    </row>
    <row r="123" spans="21:29" ht="14.25" thickBot="1">
      <c r="U123" s="27">
        <v>4</v>
      </c>
      <c r="V123" s="28" t="s">
        <v>20</v>
      </c>
      <c r="W123" s="29"/>
      <c r="X123" s="29"/>
      <c r="Y123" s="110">
        <v>10000000</v>
      </c>
      <c r="Z123" s="106" t="s">
        <v>53</v>
      </c>
      <c r="AA123" s="29"/>
      <c r="AB123" s="29" t="s">
        <v>21</v>
      </c>
      <c r="AC123" s="30"/>
    </row>
    <row r="124" spans="21:29">
      <c r="V124" s="37">
        <v>1</v>
      </c>
      <c r="W124" s="38">
        <v>0</v>
      </c>
      <c r="X124" s="39">
        <v>600001</v>
      </c>
      <c r="Y124" s="31"/>
      <c r="Z124" s="31"/>
      <c r="AA124" s="38">
        <v>1</v>
      </c>
      <c r="AB124" s="38">
        <v>0</v>
      </c>
      <c r="AC124" s="40">
        <v>1100001</v>
      </c>
    </row>
    <row r="125" spans="21:29">
      <c r="V125" s="37">
        <v>2</v>
      </c>
      <c r="W125" s="48">
        <f>+H16-600000</f>
        <v>-600000</v>
      </c>
      <c r="X125" s="39">
        <v>1300000</v>
      </c>
      <c r="Y125" s="31"/>
      <c r="Z125" s="31"/>
      <c r="AA125" s="38">
        <v>2</v>
      </c>
      <c r="AB125" s="48">
        <f>+H16-1100000</f>
        <v>-1100000</v>
      </c>
      <c r="AC125" s="40">
        <v>3300000</v>
      </c>
    </row>
    <row r="126" spans="21:29">
      <c r="V126" s="37">
        <v>3</v>
      </c>
      <c r="W126" s="38">
        <f>+H16*0.75-275000</f>
        <v>-275000</v>
      </c>
      <c r="X126" s="39">
        <v>4100000</v>
      </c>
      <c r="Y126" s="31"/>
      <c r="Z126" s="31"/>
      <c r="AA126" s="38">
        <v>3</v>
      </c>
      <c r="AB126" s="38">
        <f>+H16*0.75-275000</f>
        <v>-275000</v>
      </c>
      <c r="AC126" s="40">
        <v>4100000</v>
      </c>
    </row>
    <row r="127" spans="21:29">
      <c r="V127" s="37">
        <v>4</v>
      </c>
      <c r="W127" s="38">
        <f>+H16*0.85-685000</f>
        <v>-685000</v>
      </c>
      <c r="X127" s="39">
        <v>7700000</v>
      </c>
      <c r="Y127" s="31"/>
      <c r="Z127" s="31"/>
      <c r="AA127" s="38">
        <v>4</v>
      </c>
      <c r="AB127" s="38">
        <f>+H16*0.85-685000</f>
        <v>-685000</v>
      </c>
      <c r="AC127" s="40">
        <v>7700000</v>
      </c>
    </row>
    <row r="128" spans="21:29">
      <c r="V128" s="37">
        <v>5</v>
      </c>
      <c r="W128" s="38">
        <f>+H16*0.95-1455000</f>
        <v>-1455000</v>
      </c>
      <c r="X128" s="39">
        <v>10000000</v>
      </c>
      <c r="Y128" s="31"/>
      <c r="Z128" s="31"/>
      <c r="AA128" s="38">
        <v>5</v>
      </c>
      <c r="AB128" s="38">
        <f>+H16*0.95-1455000</f>
        <v>-1455000</v>
      </c>
      <c r="AC128" s="40">
        <v>10000000</v>
      </c>
    </row>
    <row r="129" spans="22:29">
      <c r="V129" s="37">
        <v>6</v>
      </c>
      <c r="W129" s="48">
        <f>+H16-1955000</f>
        <v>-1955000</v>
      </c>
      <c r="X129" s="39"/>
      <c r="Y129" s="31"/>
      <c r="Z129" s="31"/>
      <c r="AA129" s="38">
        <v>6</v>
      </c>
      <c r="AB129" s="48">
        <f>+H16-1955000</f>
        <v>-1955000</v>
      </c>
      <c r="AC129" s="40"/>
    </row>
    <row r="130" spans="22:29">
      <c r="V130" s="49"/>
      <c r="W130" s="31"/>
      <c r="X130" s="31"/>
      <c r="Y130" s="109">
        <v>20000000</v>
      </c>
      <c r="Z130" s="107" t="s">
        <v>54</v>
      </c>
      <c r="AA130" s="31"/>
      <c r="AB130" s="31"/>
      <c r="AC130" s="50"/>
    </row>
    <row r="131" spans="22:29">
      <c r="V131" s="37">
        <v>1</v>
      </c>
      <c r="W131" s="38">
        <v>0</v>
      </c>
      <c r="X131" s="39">
        <v>500001</v>
      </c>
      <c r="Y131" s="31"/>
      <c r="Z131" s="31"/>
      <c r="AA131" s="38">
        <v>1</v>
      </c>
      <c r="AB131" s="38">
        <v>0</v>
      </c>
      <c r="AC131" s="40">
        <v>1000001</v>
      </c>
    </row>
    <row r="132" spans="22:29">
      <c r="V132" s="37">
        <v>2</v>
      </c>
      <c r="W132" s="48">
        <f>+H16-500000</f>
        <v>-500000</v>
      </c>
      <c r="X132" s="39">
        <v>1300000</v>
      </c>
      <c r="Y132" s="31"/>
      <c r="Z132" s="31"/>
      <c r="AA132" s="38">
        <v>2</v>
      </c>
      <c r="AB132" s="48">
        <f>+H16-1000000</f>
        <v>-1000000</v>
      </c>
      <c r="AC132" s="40">
        <v>3300000</v>
      </c>
    </row>
    <row r="133" spans="22:29">
      <c r="V133" s="37">
        <v>3</v>
      </c>
      <c r="W133" s="38">
        <f>+H16*0.75-175000</f>
        <v>-175000</v>
      </c>
      <c r="X133" s="39">
        <v>4100000</v>
      </c>
      <c r="Y133" s="31"/>
      <c r="Z133" s="31"/>
      <c r="AA133" s="38">
        <v>3</v>
      </c>
      <c r="AB133" s="38">
        <f>+H16*0.75-175000</f>
        <v>-175000</v>
      </c>
      <c r="AC133" s="40">
        <v>4100000</v>
      </c>
    </row>
    <row r="134" spans="22:29">
      <c r="V134" s="37">
        <v>4</v>
      </c>
      <c r="W134" s="38">
        <f>+H16*0.85-585000</f>
        <v>-585000</v>
      </c>
      <c r="X134" s="39">
        <v>7700000</v>
      </c>
      <c r="Y134" s="31"/>
      <c r="Z134" s="31"/>
      <c r="AA134" s="38">
        <v>4</v>
      </c>
      <c r="AB134" s="38">
        <f>+H16*0.85-585000</f>
        <v>-585000</v>
      </c>
      <c r="AC134" s="40">
        <v>7700000</v>
      </c>
    </row>
    <row r="135" spans="22:29">
      <c r="V135" s="37">
        <v>5</v>
      </c>
      <c r="W135" s="38">
        <f>+H16*0.95-1355000</f>
        <v>-1355000</v>
      </c>
      <c r="X135" s="39">
        <v>10000000</v>
      </c>
      <c r="Y135" s="31"/>
      <c r="Z135" s="31"/>
      <c r="AA135" s="38">
        <v>5</v>
      </c>
      <c r="AB135" s="38">
        <f>+H16*0.95-1355000</f>
        <v>-1355000</v>
      </c>
      <c r="AC135" s="40">
        <v>10000000</v>
      </c>
    </row>
    <row r="136" spans="22:29">
      <c r="V136" s="37">
        <v>6</v>
      </c>
      <c r="W136" s="48">
        <f>+H16-1855000</f>
        <v>-1855000</v>
      </c>
      <c r="X136" s="39"/>
      <c r="Y136" s="31"/>
      <c r="Z136" s="31"/>
      <c r="AA136" s="38">
        <v>6</v>
      </c>
      <c r="AB136" s="48">
        <f>+H16-1855000</f>
        <v>-1855000</v>
      </c>
      <c r="AC136" s="40"/>
    </row>
    <row r="137" spans="22:29">
      <c r="V137" s="49"/>
      <c r="W137" s="105"/>
      <c r="X137" s="104"/>
      <c r="Y137" s="109">
        <v>20000000</v>
      </c>
      <c r="Z137" s="107" t="s">
        <v>55</v>
      </c>
      <c r="AA137" s="31"/>
      <c r="AB137" s="105"/>
      <c r="AC137" s="50"/>
    </row>
    <row r="138" spans="22:29">
      <c r="V138" s="37">
        <v>1</v>
      </c>
      <c r="W138" s="38">
        <v>0</v>
      </c>
      <c r="X138" s="39">
        <v>400001</v>
      </c>
      <c r="Y138" s="31"/>
      <c r="Z138" s="31"/>
      <c r="AA138" s="38">
        <v>1</v>
      </c>
      <c r="AB138" s="38">
        <v>0</v>
      </c>
      <c r="AC138" s="40">
        <v>900001</v>
      </c>
    </row>
    <row r="139" spans="22:29">
      <c r="V139" s="37">
        <v>2</v>
      </c>
      <c r="W139" s="48">
        <f>+H16-400000</f>
        <v>-400000</v>
      </c>
      <c r="X139" s="39">
        <v>1300000</v>
      </c>
      <c r="Y139" s="31"/>
      <c r="Z139" s="31"/>
      <c r="AA139" s="38">
        <v>2</v>
      </c>
      <c r="AB139" s="48">
        <f>+H16-900000</f>
        <v>-900000</v>
      </c>
      <c r="AC139" s="40">
        <v>3300000</v>
      </c>
    </row>
    <row r="140" spans="22:29">
      <c r="V140" s="37">
        <v>3</v>
      </c>
      <c r="W140" s="38">
        <f>+H16*0.75-75000</f>
        <v>-75000</v>
      </c>
      <c r="X140" s="39">
        <v>4100000</v>
      </c>
      <c r="Y140" s="31"/>
      <c r="Z140" s="31"/>
      <c r="AA140" s="38">
        <v>3</v>
      </c>
      <c r="AB140" s="38">
        <f>+H16*0.75-75000</f>
        <v>-75000</v>
      </c>
      <c r="AC140" s="40">
        <v>4100000</v>
      </c>
    </row>
    <row r="141" spans="22:29">
      <c r="V141" s="37">
        <v>4</v>
      </c>
      <c r="W141" s="38">
        <f>+H16*0.85-485000</f>
        <v>-485000</v>
      </c>
      <c r="X141" s="39">
        <v>7700000</v>
      </c>
      <c r="Y141" s="31"/>
      <c r="Z141" s="31"/>
      <c r="AA141" s="38">
        <v>4</v>
      </c>
      <c r="AB141" s="38">
        <f>+H16*0.85-485000</f>
        <v>-485000</v>
      </c>
      <c r="AC141" s="40">
        <v>7700000</v>
      </c>
    </row>
    <row r="142" spans="22:29">
      <c r="V142" s="37">
        <v>5</v>
      </c>
      <c r="W142" s="38">
        <f>+H16*0.95-1255000</f>
        <v>-1255000</v>
      </c>
      <c r="X142" s="39">
        <v>10000000</v>
      </c>
      <c r="Y142" s="31"/>
      <c r="Z142" s="31"/>
      <c r="AA142" s="38">
        <v>5</v>
      </c>
      <c r="AB142" s="38">
        <f>+H16*0.95-1255000</f>
        <v>-1255000</v>
      </c>
      <c r="AC142" s="40">
        <v>10000000</v>
      </c>
    </row>
    <row r="143" spans="22:29" ht="14.25" thickBot="1">
      <c r="V143" s="37">
        <v>6</v>
      </c>
      <c r="W143" s="48">
        <f>+H16-1755000</f>
        <v>-1755000</v>
      </c>
      <c r="X143" s="39"/>
      <c r="Y143" s="31"/>
      <c r="Z143" s="31"/>
      <c r="AA143" s="38">
        <v>6</v>
      </c>
      <c r="AB143" s="48">
        <f>+H16-1755000</f>
        <v>-1755000</v>
      </c>
      <c r="AC143" s="40"/>
    </row>
    <row r="144" spans="22:29" ht="14.25" thickBot="1">
      <c r="V144" s="49"/>
      <c r="W144" s="31"/>
      <c r="X144" s="31"/>
      <c r="Y144" s="44" t="s">
        <v>57</v>
      </c>
      <c r="Z144" s="111">
        <f>IF(Y16&lt;=Y123,1,IF(Y16&lt;=Y130,2,3))</f>
        <v>1</v>
      </c>
      <c r="AA144" s="31"/>
      <c r="AB144" s="31"/>
      <c r="AC144" s="50"/>
    </row>
    <row r="145" spans="21:29">
      <c r="V145" s="37">
        <v>1</v>
      </c>
      <c r="W145" s="108">
        <f>IF($Z144=1,W124,IF($Z144=2,W131,W138))</f>
        <v>0</v>
      </c>
      <c r="X145" s="38">
        <f>IF($Z144=1,X124,IF($Z144=2,X131,X138))</f>
        <v>600001</v>
      </c>
      <c r="Y145" s="44" t="s">
        <v>58</v>
      </c>
      <c r="Z145" s="31"/>
      <c r="AA145" s="38">
        <v>1</v>
      </c>
      <c r="AB145" s="108">
        <f>IF($Z144=1,AB124,IF($Z144=2,AB131,AB138))</f>
        <v>0</v>
      </c>
      <c r="AC145" s="40">
        <f>IF($Z144=1,AC124,IF($Z144=2,AC131,AC138))</f>
        <v>1100001</v>
      </c>
    </row>
    <row r="146" spans="21:29">
      <c r="V146" s="37">
        <v>2</v>
      </c>
      <c r="W146" s="108">
        <f>IF($Z144=1,W125,IF($Z144=2,W132,W139))</f>
        <v>-600000</v>
      </c>
      <c r="X146" s="38">
        <f>IF($Z144=1,X125,IF($Z144=2,X132,X139))</f>
        <v>1300000</v>
      </c>
      <c r="Y146" s="31"/>
      <c r="Z146" s="31"/>
      <c r="AA146" s="38">
        <v>2</v>
      </c>
      <c r="AB146" s="108">
        <f>IF($Z144=1,AB125,IF($Z144=2,AB132,AB139))</f>
        <v>-1100000</v>
      </c>
      <c r="AC146" s="40">
        <f>IF($Z144=1,AC125,IF($Z144=2,AC132,AC139))</f>
        <v>3300000</v>
      </c>
    </row>
    <row r="147" spans="21:29">
      <c r="V147" s="37">
        <v>3</v>
      </c>
      <c r="W147" s="108">
        <f>IF($Z144=1,W126,IF($Z144=2,W133,W140))</f>
        <v>-275000</v>
      </c>
      <c r="X147" s="38">
        <f>IF($Z144=1,X126,IF($Z144=2,X133,X140))</f>
        <v>4100000</v>
      </c>
      <c r="Y147" s="31"/>
      <c r="Z147" s="31"/>
      <c r="AA147" s="38">
        <v>3</v>
      </c>
      <c r="AB147" s="108">
        <f>IF($Z144=1,AB126,IF($Z144=2,AB133,AB140))</f>
        <v>-275000</v>
      </c>
      <c r="AC147" s="40">
        <f>IF($Z144=1,AC126,IF($Z144=2,AC133,AC140))</f>
        <v>4100000</v>
      </c>
    </row>
    <row r="148" spans="21:29">
      <c r="V148" s="37">
        <v>4</v>
      </c>
      <c r="W148" s="108">
        <f>IF($Z144=1,W127,IF($Z144=2,W134,W141))</f>
        <v>-685000</v>
      </c>
      <c r="X148" s="38">
        <f>IF($Z144=1,X127,IF($Z144=2,X134,X141))</f>
        <v>7700000</v>
      </c>
      <c r="Y148" s="31"/>
      <c r="Z148" s="31"/>
      <c r="AA148" s="38">
        <v>4</v>
      </c>
      <c r="AB148" s="108">
        <f>IF($Z144=1,AB127,IF($Z144=2,AB134,AB141))</f>
        <v>-685000</v>
      </c>
      <c r="AC148" s="40">
        <f>IF($Z144=1,AC127,IF($Z144=2,AC134,AC141))</f>
        <v>7700000</v>
      </c>
    </row>
    <row r="149" spans="21:29">
      <c r="V149" s="37">
        <v>5</v>
      </c>
      <c r="W149" s="108">
        <f>IF($Z144=1,W128,IF($Z144=2,W135,W142))</f>
        <v>-1455000</v>
      </c>
      <c r="X149" s="38">
        <f>IF($Z144=1,X128,IF($Z144=2,X135,X142))</f>
        <v>10000000</v>
      </c>
      <c r="Y149" s="31"/>
      <c r="Z149" s="31"/>
      <c r="AA149" s="38">
        <v>5</v>
      </c>
      <c r="AB149" s="108">
        <f>IF($Z144=1,AB128,IF($Z144=2,AB135,AB142))</f>
        <v>-1455000</v>
      </c>
      <c r="AC149" s="40">
        <f>IF($Z144=1,AC128,IF($Z144=2,AC135,AC142))</f>
        <v>10000000</v>
      </c>
    </row>
    <row r="150" spans="21:29">
      <c r="V150" s="37">
        <v>6</v>
      </c>
      <c r="W150" s="108">
        <f>IF($Z144=1,W129,IF($Z144=2,W136,W143))</f>
        <v>-1955000</v>
      </c>
      <c r="X150" s="38"/>
      <c r="Y150" s="31"/>
      <c r="Z150" s="31"/>
      <c r="AA150" s="38">
        <v>6</v>
      </c>
      <c r="AB150" s="108">
        <f>IF($Z144=1,AB129,IF($Z144=2,AB136,AB143))</f>
        <v>-1955000</v>
      </c>
      <c r="AC150" s="40"/>
    </row>
    <row r="151" spans="21:29" ht="14.25" thickBot="1">
      <c r="V151" s="49"/>
      <c r="W151" s="31"/>
      <c r="X151" s="113"/>
      <c r="Y151" s="31"/>
      <c r="Z151" s="31"/>
      <c r="AA151" s="31"/>
      <c r="AB151" s="31"/>
      <c r="AC151" s="114"/>
    </row>
    <row r="152" spans="21:29">
      <c r="V152" s="49"/>
      <c r="W152" s="31"/>
      <c r="X152" s="55">
        <f>+IF(H16&lt;X145,1,IF(H16&lt;X146,2,IF(H16&lt;X147,3,IF(H16&lt;X148,4,IF(H16&lt;X149,5,6)))))</f>
        <v>1</v>
      </c>
      <c r="Y152" s="31"/>
      <c r="Z152" s="31"/>
      <c r="AA152" s="31"/>
      <c r="AB152" s="31"/>
      <c r="AC152" s="55">
        <f>+IF(H16&lt;AC145,1,IF(H16&lt;AC146,2,IF(H16&lt;AC147,3,IF(H16&lt;AC148,4,IF(H16&lt;AC149,5,6)))))</f>
        <v>1</v>
      </c>
    </row>
    <row r="153" spans="21:29" ht="14.25" thickBot="1">
      <c r="V153" s="49"/>
      <c r="W153" s="31"/>
      <c r="X153" s="56">
        <f>ROUNDDOWN(LOOKUP(X152,V145:V150,W145:W150),0)</f>
        <v>0</v>
      </c>
      <c r="Y153" s="31"/>
      <c r="Z153" s="31"/>
      <c r="AA153" s="31"/>
      <c r="AB153" s="31"/>
      <c r="AC153" s="56">
        <f>ROUNDDOWN(LOOKUP(AC152,AA145:AA150,AB145:AB150),0)</f>
        <v>0</v>
      </c>
    </row>
    <row r="154" spans="21:29" ht="14.25" thickBot="1">
      <c r="V154" s="49"/>
      <c r="W154" s="31"/>
      <c r="X154" s="31"/>
      <c r="Y154" s="31"/>
      <c r="Z154" s="31"/>
      <c r="AA154" s="31"/>
      <c r="AB154" s="31"/>
      <c r="AC154" s="50"/>
    </row>
    <row r="155" spans="21:29" ht="14.25" thickBot="1">
      <c r="V155" s="62"/>
      <c r="W155" s="63" t="s">
        <v>30</v>
      </c>
      <c r="X155" s="64">
        <f>+IF(OR(F16="40歳～64歳",F16="*65歳～74歳*"),X153,IF(F16="65歳～74歳",AC153,0))</f>
        <v>0</v>
      </c>
      <c r="Y155" s="65"/>
      <c r="Z155" s="65"/>
      <c r="AA155" s="65"/>
      <c r="AB155" s="65"/>
      <c r="AC155" s="66"/>
    </row>
    <row r="156" spans="21:29" ht="14.25" thickBot="1">
      <c r="U156" s="27">
        <v>5</v>
      </c>
      <c r="V156" s="28" t="s">
        <v>20</v>
      </c>
      <c r="W156" s="29"/>
      <c r="X156" s="29"/>
      <c r="Y156" s="110">
        <v>10000000</v>
      </c>
      <c r="Z156" s="106" t="s">
        <v>53</v>
      </c>
      <c r="AA156" s="29"/>
      <c r="AB156" s="29" t="s">
        <v>21</v>
      </c>
      <c r="AC156" s="30"/>
    </row>
    <row r="157" spans="21:29">
      <c r="V157" s="37">
        <v>1</v>
      </c>
      <c r="W157" s="38">
        <v>0</v>
      </c>
      <c r="X157" s="39">
        <v>600001</v>
      </c>
      <c r="Y157" s="31"/>
      <c r="Z157" s="31"/>
      <c r="AA157" s="38">
        <v>1</v>
      </c>
      <c r="AB157" s="38">
        <v>0</v>
      </c>
      <c r="AC157" s="40">
        <v>1100001</v>
      </c>
    </row>
    <row r="158" spans="21:29">
      <c r="V158" s="37">
        <v>2</v>
      </c>
      <c r="W158" s="48">
        <f>+H17-600000</f>
        <v>-600000</v>
      </c>
      <c r="X158" s="39">
        <v>1300000</v>
      </c>
      <c r="Y158" s="31"/>
      <c r="Z158" s="31"/>
      <c r="AA158" s="38">
        <v>2</v>
      </c>
      <c r="AB158" s="48">
        <f>+H17-1100000</f>
        <v>-1100000</v>
      </c>
      <c r="AC158" s="40">
        <v>3300000</v>
      </c>
    </row>
    <row r="159" spans="21:29">
      <c r="V159" s="37">
        <v>3</v>
      </c>
      <c r="W159" s="38">
        <f>+H17*0.75-275000</f>
        <v>-275000</v>
      </c>
      <c r="X159" s="39">
        <v>4100000</v>
      </c>
      <c r="Y159" s="31"/>
      <c r="Z159" s="31"/>
      <c r="AA159" s="38">
        <v>3</v>
      </c>
      <c r="AB159" s="38">
        <f>+H17*0.75-275000</f>
        <v>-275000</v>
      </c>
      <c r="AC159" s="40">
        <v>4100000</v>
      </c>
    </row>
    <row r="160" spans="21:29">
      <c r="V160" s="37">
        <v>4</v>
      </c>
      <c r="W160" s="38">
        <f>+H17*0.85-685000</f>
        <v>-685000</v>
      </c>
      <c r="X160" s="39">
        <v>7700000</v>
      </c>
      <c r="Y160" s="31"/>
      <c r="Z160" s="31"/>
      <c r="AA160" s="38">
        <v>4</v>
      </c>
      <c r="AB160" s="38">
        <f>+H17*0.85-685000</f>
        <v>-685000</v>
      </c>
      <c r="AC160" s="40">
        <v>7700000</v>
      </c>
    </row>
    <row r="161" spans="22:29">
      <c r="V161" s="37">
        <v>5</v>
      </c>
      <c r="W161" s="38">
        <f>+H17*0.95-1455000</f>
        <v>-1455000</v>
      </c>
      <c r="X161" s="39">
        <v>10000000</v>
      </c>
      <c r="Y161" s="31"/>
      <c r="Z161" s="31"/>
      <c r="AA161" s="38">
        <v>5</v>
      </c>
      <c r="AB161" s="38">
        <f>+H17*0.95-1455000</f>
        <v>-1455000</v>
      </c>
      <c r="AC161" s="40">
        <v>10000000</v>
      </c>
    </row>
    <row r="162" spans="22:29">
      <c r="V162" s="37">
        <v>6</v>
      </c>
      <c r="W162" s="48">
        <f>+H17-1955000</f>
        <v>-1955000</v>
      </c>
      <c r="X162" s="39"/>
      <c r="Y162" s="31"/>
      <c r="Z162" s="31"/>
      <c r="AA162" s="38">
        <v>6</v>
      </c>
      <c r="AB162" s="48">
        <f>+H17-1955000</f>
        <v>-1955000</v>
      </c>
      <c r="AC162" s="40"/>
    </row>
    <row r="163" spans="22:29">
      <c r="V163" s="49"/>
      <c r="W163" s="31"/>
      <c r="X163" s="31"/>
      <c r="Y163" s="109">
        <v>20000000</v>
      </c>
      <c r="Z163" s="107" t="s">
        <v>54</v>
      </c>
      <c r="AA163" s="31"/>
      <c r="AB163" s="31"/>
      <c r="AC163" s="50"/>
    </row>
    <row r="164" spans="22:29">
      <c r="V164" s="37">
        <v>1</v>
      </c>
      <c r="W164" s="38">
        <v>0</v>
      </c>
      <c r="X164" s="39">
        <v>500001</v>
      </c>
      <c r="Y164" s="31"/>
      <c r="Z164" s="31"/>
      <c r="AA164" s="38">
        <v>1</v>
      </c>
      <c r="AB164" s="38">
        <v>0</v>
      </c>
      <c r="AC164" s="40">
        <v>1000001</v>
      </c>
    </row>
    <row r="165" spans="22:29">
      <c r="V165" s="37">
        <v>2</v>
      </c>
      <c r="W165" s="48">
        <f>+H17-500000</f>
        <v>-500000</v>
      </c>
      <c r="X165" s="39">
        <v>1300000</v>
      </c>
      <c r="Y165" s="31"/>
      <c r="Z165" s="31"/>
      <c r="AA165" s="38">
        <v>2</v>
      </c>
      <c r="AB165" s="48">
        <f>+H17-1000000</f>
        <v>-1000000</v>
      </c>
      <c r="AC165" s="40">
        <v>3300000</v>
      </c>
    </row>
    <row r="166" spans="22:29">
      <c r="V166" s="37">
        <v>3</v>
      </c>
      <c r="W166" s="38">
        <f>+H17*0.75-175000</f>
        <v>-175000</v>
      </c>
      <c r="X166" s="39">
        <v>4100000</v>
      </c>
      <c r="Y166" s="31"/>
      <c r="Z166" s="31"/>
      <c r="AA166" s="38">
        <v>3</v>
      </c>
      <c r="AB166" s="38">
        <f>+H17*0.75-175000</f>
        <v>-175000</v>
      </c>
      <c r="AC166" s="40">
        <v>4100000</v>
      </c>
    </row>
    <row r="167" spans="22:29">
      <c r="V167" s="37">
        <v>4</v>
      </c>
      <c r="W167" s="38">
        <f>+H17*0.85-585000</f>
        <v>-585000</v>
      </c>
      <c r="X167" s="39">
        <v>7700000</v>
      </c>
      <c r="Y167" s="31"/>
      <c r="Z167" s="31"/>
      <c r="AA167" s="38">
        <v>4</v>
      </c>
      <c r="AB167" s="38">
        <f>+H17*0.85-585000</f>
        <v>-585000</v>
      </c>
      <c r="AC167" s="40">
        <v>7700000</v>
      </c>
    </row>
    <row r="168" spans="22:29">
      <c r="V168" s="37">
        <v>5</v>
      </c>
      <c r="W168" s="38">
        <f>+H17*0.95-1355000</f>
        <v>-1355000</v>
      </c>
      <c r="X168" s="39">
        <v>10000000</v>
      </c>
      <c r="Y168" s="31"/>
      <c r="Z168" s="31"/>
      <c r="AA168" s="38">
        <v>5</v>
      </c>
      <c r="AB168" s="38">
        <f>+H17*0.95-1355000</f>
        <v>-1355000</v>
      </c>
      <c r="AC168" s="40">
        <v>10000000</v>
      </c>
    </row>
    <row r="169" spans="22:29">
      <c r="V169" s="37">
        <v>6</v>
      </c>
      <c r="W169" s="48">
        <f>+H17-1855000</f>
        <v>-1855000</v>
      </c>
      <c r="X169" s="39"/>
      <c r="Y169" s="31"/>
      <c r="Z169" s="31"/>
      <c r="AA169" s="38">
        <v>6</v>
      </c>
      <c r="AB169" s="48">
        <f>+H17-1855000</f>
        <v>-1855000</v>
      </c>
      <c r="AC169" s="40"/>
    </row>
    <row r="170" spans="22:29">
      <c r="V170" s="49"/>
      <c r="W170" s="105"/>
      <c r="X170" s="104"/>
      <c r="Y170" s="109">
        <v>20000000</v>
      </c>
      <c r="Z170" s="107" t="s">
        <v>55</v>
      </c>
      <c r="AA170" s="31"/>
      <c r="AB170" s="105"/>
      <c r="AC170" s="50"/>
    </row>
    <row r="171" spans="22:29">
      <c r="V171" s="37">
        <v>1</v>
      </c>
      <c r="W171" s="38">
        <v>0</v>
      </c>
      <c r="X171" s="39">
        <v>400001</v>
      </c>
      <c r="Y171" s="31"/>
      <c r="Z171" s="31"/>
      <c r="AA171" s="38">
        <v>1</v>
      </c>
      <c r="AB171" s="38">
        <v>0</v>
      </c>
      <c r="AC171" s="40">
        <v>900001</v>
      </c>
    </row>
    <row r="172" spans="22:29">
      <c r="V172" s="37">
        <v>2</v>
      </c>
      <c r="W172" s="48">
        <f>+H17-400000</f>
        <v>-400000</v>
      </c>
      <c r="X172" s="39">
        <v>1300000</v>
      </c>
      <c r="Y172" s="31"/>
      <c r="Z172" s="31"/>
      <c r="AA172" s="38">
        <v>2</v>
      </c>
      <c r="AB172" s="48">
        <f>+H17-900000</f>
        <v>-900000</v>
      </c>
      <c r="AC172" s="40">
        <v>3300000</v>
      </c>
    </row>
    <row r="173" spans="22:29">
      <c r="V173" s="37">
        <v>3</v>
      </c>
      <c r="W173" s="38">
        <f>+H17*0.75-75000</f>
        <v>-75000</v>
      </c>
      <c r="X173" s="39">
        <v>4100000</v>
      </c>
      <c r="Y173" s="31"/>
      <c r="Z173" s="31"/>
      <c r="AA173" s="38">
        <v>3</v>
      </c>
      <c r="AB173" s="38">
        <f>+H17*0.75-75000</f>
        <v>-75000</v>
      </c>
      <c r="AC173" s="40">
        <v>4100000</v>
      </c>
    </row>
    <row r="174" spans="22:29">
      <c r="V174" s="37">
        <v>4</v>
      </c>
      <c r="W174" s="38">
        <f>+H17*0.85-485000</f>
        <v>-485000</v>
      </c>
      <c r="X174" s="39">
        <v>7700000</v>
      </c>
      <c r="Y174" s="31"/>
      <c r="Z174" s="31"/>
      <c r="AA174" s="38">
        <v>4</v>
      </c>
      <c r="AB174" s="38">
        <f>+H17*0.85-485000</f>
        <v>-485000</v>
      </c>
      <c r="AC174" s="40">
        <v>7700000</v>
      </c>
    </row>
    <row r="175" spans="22:29">
      <c r="V175" s="37">
        <v>5</v>
      </c>
      <c r="W175" s="38">
        <f>+H17*0.95-1255000</f>
        <v>-1255000</v>
      </c>
      <c r="X175" s="39">
        <v>10000000</v>
      </c>
      <c r="Y175" s="31"/>
      <c r="Z175" s="31"/>
      <c r="AA175" s="38">
        <v>5</v>
      </c>
      <c r="AB175" s="38">
        <f>+H17*0.95-1255000</f>
        <v>-1255000</v>
      </c>
      <c r="AC175" s="40">
        <v>10000000</v>
      </c>
    </row>
    <row r="176" spans="22:29" ht="14.25" thickBot="1">
      <c r="V176" s="37">
        <v>6</v>
      </c>
      <c r="W176" s="48">
        <f>+H17-1755000</f>
        <v>-1755000</v>
      </c>
      <c r="X176" s="39"/>
      <c r="Y176" s="31"/>
      <c r="Z176" s="31"/>
      <c r="AA176" s="38">
        <v>6</v>
      </c>
      <c r="AB176" s="48">
        <f>+H17-1755000</f>
        <v>-1755000</v>
      </c>
      <c r="AC176" s="40"/>
    </row>
    <row r="177" spans="21:29" ht="14.25" thickBot="1">
      <c r="V177" s="49"/>
      <c r="W177" s="31"/>
      <c r="X177" s="31"/>
      <c r="Y177" s="44" t="s">
        <v>57</v>
      </c>
      <c r="Z177" s="111">
        <f>IF(Y17&lt;=Y156,1,IF(Y17&lt;=Y163,2,3))</f>
        <v>1</v>
      </c>
      <c r="AA177" s="31"/>
      <c r="AB177" s="31"/>
      <c r="AC177" s="50"/>
    </row>
    <row r="178" spans="21:29">
      <c r="V178" s="37">
        <v>1</v>
      </c>
      <c r="W178" s="108">
        <f>IF($Z177=1,W157,IF($Z177=2,W164,W171))</f>
        <v>0</v>
      </c>
      <c r="X178" s="38">
        <f>IF($Z177=1,X157,IF($Z177=2,X164,X171))</f>
        <v>600001</v>
      </c>
      <c r="Y178" s="44" t="s">
        <v>58</v>
      </c>
      <c r="Z178" s="31"/>
      <c r="AA178" s="38">
        <v>1</v>
      </c>
      <c r="AB178" s="108">
        <f>IF($Z177=1,AB157,IF($Z177=2,AB164,AB171))</f>
        <v>0</v>
      </c>
      <c r="AC178" s="40">
        <f>IF($Z177=1,AC157,IF($Z177=2,AC164,AC171))</f>
        <v>1100001</v>
      </c>
    </row>
    <row r="179" spans="21:29">
      <c r="V179" s="37">
        <v>2</v>
      </c>
      <c r="W179" s="108">
        <f>IF($Z177=1,W158,IF($Z177=2,W165,W172))</f>
        <v>-600000</v>
      </c>
      <c r="X179" s="38">
        <f>IF($Z177=1,X158,IF($Z177=2,X165,X172))</f>
        <v>1300000</v>
      </c>
      <c r="Y179" s="31"/>
      <c r="Z179" s="31"/>
      <c r="AA179" s="38">
        <v>2</v>
      </c>
      <c r="AB179" s="108">
        <f>IF($Z177=1,AB158,IF($Z177=2,AB165,AB172))</f>
        <v>-1100000</v>
      </c>
      <c r="AC179" s="40">
        <f>IF($Z177=1,AC158,IF($Z177=2,AC165,AC172))</f>
        <v>3300000</v>
      </c>
    </row>
    <row r="180" spans="21:29">
      <c r="V180" s="37">
        <v>3</v>
      </c>
      <c r="W180" s="108">
        <f>IF($Z177=1,W159,IF($Z177=2,W166,W173))</f>
        <v>-275000</v>
      </c>
      <c r="X180" s="38">
        <f>IF($Z177=1,X159,IF($Z177=2,X166,X173))</f>
        <v>4100000</v>
      </c>
      <c r="Y180" s="31"/>
      <c r="Z180" s="31"/>
      <c r="AA180" s="38">
        <v>3</v>
      </c>
      <c r="AB180" s="108">
        <f>IF($Z177=1,AB159,IF($Z177=2,AB166,AB173))</f>
        <v>-275000</v>
      </c>
      <c r="AC180" s="40">
        <f>IF($Z177=1,AC159,IF($Z177=2,AC166,AC173))</f>
        <v>4100000</v>
      </c>
    </row>
    <row r="181" spans="21:29">
      <c r="V181" s="37">
        <v>4</v>
      </c>
      <c r="W181" s="108">
        <f>IF($Z177=1,W160,IF($Z177=2,W167,W174))</f>
        <v>-685000</v>
      </c>
      <c r="X181" s="38">
        <f>IF($Z177=1,X160,IF($Z177=2,X167,X174))</f>
        <v>7700000</v>
      </c>
      <c r="Y181" s="31"/>
      <c r="Z181" s="31"/>
      <c r="AA181" s="38">
        <v>4</v>
      </c>
      <c r="AB181" s="108">
        <f>IF($Z177=1,AB160,IF($Z177=2,AB167,AB174))</f>
        <v>-685000</v>
      </c>
      <c r="AC181" s="40">
        <f>IF($Z177=1,AC160,IF($Z177=2,AC167,AC174))</f>
        <v>7700000</v>
      </c>
    </row>
    <row r="182" spans="21:29">
      <c r="V182" s="37">
        <v>5</v>
      </c>
      <c r="W182" s="108">
        <f>IF($Z177=1,W161,IF($Z177=2,W168,W175))</f>
        <v>-1455000</v>
      </c>
      <c r="X182" s="38">
        <f>IF($Z177=1,X161,IF($Z177=2,X168,X175))</f>
        <v>10000000</v>
      </c>
      <c r="Y182" s="31"/>
      <c r="Z182" s="31"/>
      <c r="AA182" s="38">
        <v>5</v>
      </c>
      <c r="AB182" s="108">
        <f>IF($Z177=1,AB161,IF($Z177=2,AB168,AB175))</f>
        <v>-1455000</v>
      </c>
      <c r="AC182" s="40">
        <f>IF($Z177=1,AC161,IF($Z177=2,AC168,AC175))</f>
        <v>10000000</v>
      </c>
    </row>
    <row r="183" spans="21:29">
      <c r="V183" s="37">
        <v>6</v>
      </c>
      <c r="W183" s="108">
        <f>IF($Z177=1,W162,IF($Z177=2,W169,W176))</f>
        <v>-1955000</v>
      </c>
      <c r="X183" s="38"/>
      <c r="Y183" s="31"/>
      <c r="Z183" s="31"/>
      <c r="AA183" s="38">
        <v>6</v>
      </c>
      <c r="AB183" s="108">
        <f>IF($Z177=1,AB162,IF($Z177=2,AB169,AB176))</f>
        <v>-1955000</v>
      </c>
      <c r="AC183" s="40"/>
    </row>
    <row r="184" spans="21:29" ht="14.25" thickBot="1">
      <c r="V184" s="49"/>
      <c r="W184" s="31"/>
      <c r="X184" s="113"/>
      <c r="Y184" s="31"/>
      <c r="Z184" s="31"/>
      <c r="AA184" s="31"/>
      <c r="AB184" s="31"/>
      <c r="AC184" s="114"/>
    </row>
    <row r="185" spans="21:29">
      <c r="V185" s="49"/>
      <c r="W185" s="31"/>
      <c r="X185" s="55">
        <f>+IF(H17&lt;X178,1,IF(H17&lt;X179,2,IF(H17&lt;X180,3,IF(H17&lt;X181,4,IF(H17&lt;X182,5,6)))))</f>
        <v>1</v>
      </c>
      <c r="Y185" s="31"/>
      <c r="Z185" s="31"/>
      <c r="AA185" s="31"/>
      <c r="AB185" s="31"/>
      <c r="AC185" s="55">
        <f>+IF(H17&lt;AC178,1,IF(H17&lt;AC179,2,IF(H17&lt;AC180,3,IF(H17&lt;AC181,4,IF(H17&lt;AC182,5,6)))))</f>
        <v>1</v>
      </c>
    </row>
    <row r="186" spans="21:29" ht="14.25" thickBot="1">
      <c r="V186" s="49"/>
      <c r="W186" s="31"/>
      <c r="X186" s="56">
        <f>ROUNDDOWN(LOOKUP(X185,V178:V183,W178:W183),0)</f>
        <v>0</v>
      </c>
      <c r="Y186" s="31"/>
      <c r="Z186" s="31"/>
      <c r="AA186" s="31"/>
      <c r="AB186" s="31"/>
      <c r="AC186" s="56">
        <f>ROUNDDOWN(LOOKUP(AC185,AA178:AA183,AB178:AB183),0)</f>
        <v>0</v>
      </c>
    </row>
    <row r="187" spans="21:29" ht="14.25" thickBot="1">
      <c r="V187" s="49"/>
      <c r="W187" s="31"/>
      <c r="X187" s="31"/>
      <c r="Y187" s="31"/>
      <c r="Z187" s="31"/>
      <c r="AA187" s="31"/>
      <c r="AB187" s="31"/>
      <c r="AC187" s="50"/>
    </row>
    <row r="188" spans="21:29" ht="14.25" thickBot="1">
      <c r="V188" s="62"/>
      <c r="W188" s="63" t="s">
        <v>30</v>
      </c>
      <c r="X188" s="64">
        <f>+IF(OR(F17="40歳～64歳",F17="*65歳～74歳*"),X186,IF(F17="65歳～74歳",AC186,0))</f>
        <v>0</v>
      </c>
      <c r="Y188" s="65"/>
      <c r="Z188" s="65"/>
      <c r="AA188" s="65"/>
      <c r="AB188" s="65"/>
      <c r="AC188" s="66"/>
    </row>
    <row r="189" spans="21:29" ht="14.25" thickBot="1">
      <c r="U189" s="27">
        <v>6</v>
      </c>
      <c r="V189" s="28" t="s">
        <v>20</v>
      </c>
      <c r="W189" s="29"/>
      <c r="X189" s="29"/>
      <c r="Y189" s="110">
        <v>10000000</v>
      </c>
      <c r="Z189" s="106" t="s">
        <v>53</v>
      </c>
      <c r="AA189" s="29"/>
      <c r="AB189" s="29" t="s">
        <v>21</v>
      </c>
      <c r="AC189" s="30"/>
    </row>
    <row r="190" spans="21:29">
      <c r="V190" s="37">
        <v>1</v>
      </c>
      <c r="W190" s="38">
        <v>0</v>
      </c>
      <c r="X190" s="39">
        <v>600001</v>
      </c>
      <c r="Y190" s="31"/>
      <c r="Z190" s="31"/>
      <c r="AA190" s="38">
        <v>1</v>
      </c>
      <c r="AB190" s="38">
        <v>0</v>
      </c>
      <c r="AC190" s="40">
        <v>1100001</v>
      </c>
    </row>
    <row r="191" spans="21:29">
      <c r="V191" s="37">
        <v>2</v>
      </c>
      <c r="W191" s="48">
        <f>+H18-600000</f>
        <v>-600000</v>
      </c>
      <c r="X191" s="39">
        <v>1300000</v>
      </c>
      <c r="Y191" s="31"/>
      <c r="Z191" s="31"/>
      <c r="AA191" s="38">
        <v>2</v>
      </c>
      <c r="AB191" s="48">
        <f>+H18-1100000</f>
        <v>-1100000</v>
      </c>
      <c r="AC191" s="40">
        <v>3300000</v>
      </c>
    </row>
    <row r="192" spans="21:29">
      <c r="V192" s="37">
        <v>3</v>
      </c>
      <c r="W192" s="38">
        <f>+H18*0.75-275000</f>
        <v>-275000</v>
      </c>
      <c r="X192" s="39">
        <v>4100000</v>
      </c>
      <c r="Y192" s="31"/>
      <c r="Z192" s="31"/>
      <c r="AA192" s="38">
        <v>3</v>
      </c>
      <c r="AB192" s="38">
        <f>+H18*0.75-275000</f>
        <v>-275000</v>
      </c>
      <c r="AC192" s="40">
        <v>4100000</v>
      </c>
    </row>
    <row r="193" spans="22:29">
      <c r="V193" s="37">
        <v>4</v>
      </c>
      <c r="W193" s="38">
        <f>+H18*0.85-685000</f>
        <v>-685000</v>
      </c>
      <c r="X193" s="39">
        <v>7700000</v>
      </c>
      <c r="Y193" s="31"/>
      <c r="Z193" s="31"/>
      <c r="AA193" s="38">
        <v>4</v>
      </c>
      <c r="AB193" s="38">
        <f>+H18*0.85-685000</f>
        <v>-685000</v>
      </c>
      <c r="AC193" s="40">
        <v>7700000</v>
      </c>
    </row>
    <row r="194" spans="22:29">
      <c r="V194" s="37">
        <v>5</v>
      </c>
      <c r="W194" s="38">
        <f>+H18*0.95-1455000</f>
        <v>-1455000</v>
      </c>
      <c r="X194" s="39">
        <v>10000000</v>
      </c>
      <c r="Y194" s="31"/>
      <c r="Z194" s="31"/>
      <c r="AA194" s="38">
        <v>5</v>
      </c>
      <c r="AB194" s="38">
        <f>+H18*0.95-1455000</f>
        <v>-1455000</v>
      </c>
      <c r="AC194" s="40">
        <v>10000000</v>
      </c>
    </row>
    <row r="195" spans="22:29">
      <c r="V195" s="37">
        <v>6</v>
      </c>
      <c r="W195" s="48">
        <f>+H18-1955000</f>
        <v>-1955000</v>
      </c>
      <c r="X195" s="39"/>
      <c r="Y195" s="31"/>
      <c r="Z195" s="31"/>
      <c r="AA195" s="38">
        <v>6</v>
      </c>
      <c r="AB195" s="48">
        <f>+H18-1955000</f>
        <v>-1955000</v>
      </c>
      <c r="AC195" s="40"/>
    </row>
    <row r="196" spans="22:29">
      <c r="V196" s="49"/>
      <c r="W196" s="31"/>
      <c r="X196" s="31"/>
      <c r="Y196" s="109">
        <v>20000000</v>
      </c>
      <c r="Z196" s="107" t="s">
        <v>54</v>
      </c>
      <c r="AA196" s="31"/>
      <c r="AB196" s="31"/>
      <c r="AC196" s="50"/>
    </row>
    <row r="197" spans="22:29">
      <c r="V197" s="37">
        <v>1</v>
      </c>
      <c r="W197" s="38">
        <v>0</v>
      </c>
      <c r="X197" s="39">
        <v>500001</v>
      </c>
      <c r="Y197" s="31"/>
      <c r="Z197" s="31"/>
      <c r="AA197" s="38">
        <v>1</v>
      </c>
      <c r="AB197" s="38">
        <v>0</v>
      </c>
      <c r="AC197" s="40">
        <v>1000001</v>
      </c>
    </row>
    <row r="198" spans="22:29">
      <c r="V198" s="37">
        <v>2</v>
      </c>
      <c r="W198" s="48">
        <f>+H18-500000</f>
        <v>-500000</v>
      </c>
      <c r="X198" s="39">
        <v>1300000</v>
      </c>
      <c r="Y198" s="31"/>
      <c r="Z198" s="31"/>
      <c r="AA198" s="38">
        <v>2</v>
      </c>
      <c r="AB198" s="48">
        <f>+H18-1000000</f>
        <v>-1000000</v>
      </c>
      <c r="AC198" s="40">
        <v>3300000</v>
      </c>
    </row>
    <row r="199" spans="22:29">
      <c r="V199" s="37">
        <v>3</v>
      </c>
      <c r="W199" s="38">
        <f>+H18*0.75-175000</f>
        <v>-175000</v>
      </c>
      <c r="X199" s="39">
        <v>4100000</v>
      </c>
      <c r="Y199" s="31"/>
      <c r="Z199" s="31"/>
      <c r="AA199" s="38">
        <v>3</v>
      </c>
      <c r="AB199" s="38">
        <f>+H18*0.75-175000</f>
        <v>-175000</v>
      </c>
      <c r="AC199" s="40">
        <v>4100000</v>
      </c>
    </row>
    <row r="200" spans="22:29">
      <c r="V200" s="37">
        <v>4</v>
      </c>
      <c r="W200" s="38">
        <f>+H18*0.85-585000</f>
        <v>-585000</v>
      </c>
      <c r="X200" s="39">
        <v>7700000</v>
      </c>
      <c r="Y200" s="31"/>
      <c r="Z200" s="31"/>
      <c r="AA200" s="38">
        <v>4</v>
      </c>
      <c r="AB200" s="38">
        <f>+H18*0.85-585000</f>
        <v>-585000</v>
      </c>
      <c r="AC200" s="40">
        <v>7700000</v>
      </c>
    </row>
    <row r="201" spans="22:29">
      <c r="V201" s="37">
        <v>5</v>
      </c>
      <c r="W201" s="38">
        <f>+H18*0.95-1355000</f>
        <v>-1355000</v>
      </c>
      <c r="X201" s="39">
        <v>10000000</v>
      </c>
      <c r="Y201" s="31"/>
      <c r="Z201" s="31"/>
      <c r="AA201" s="38">
        <v>5</v>
      </c>
      <c r="AB201" s="38">
        <f>+H18*0.95-1355000</f>
        <v>-1355000</v>
      </c>
      <c r="AC201" s="40">
        <v>10000000</v>
      </c>
    </row>
    <row r="202" spans="22:29">
      <c r="V202" s="37">
        <v>6</v>
      </c>
      <c r="W202" s="48">
        <f>+H18-1855000</f>
        <v>-1855000</v>
      </c>
      <c r="X202" s="39"/>
      <c r="Y202" s="31"/>
      <c r="Z202" s="31"/>
      <c r="AA202" s="38">
        <v>6</v>
      </c>
      <c r="AB202" s="48">
        <f>+H18-1855000</f>
        <v>-1855000</v>
      </c>
      <c r="AC202" s="40"/>
    </row>
    <row r="203" spans="22:29">
      <c r="V203" s="49"/>
      <c r="W203" s="105"/>
      <c r="X203" s="104"/>
      <c r="Y203" s="109">
        <v>20000000</v>
      </c>
      <c r="Z203" s="107" t="s">
        <v>55</v>
      </c>
      <c r="AA203" s="31"/>
      <c r="AB203" s="105"/>
      <c r="AC203" s="50"/>
    </row>
    <row r="204" spans="22:29">
      <c r="V204" s="37">
        <v>1</v>
      </c>
      <c r="W204" s="38">
        <v>0</v>
      </c>
      <c r="X204" s="39">
        <v>400001</v>
      </c>
      <c r="Y204" s="31"/>
      <c r="Z204" s="31"/>
      <c r="AA204" s="38">
        <v>1</v>
      </c>
      <c r="AB204" s="38">
        <v>0</v>
      </c>
      <c r="AC204" s="40">
        <v>900001</v>
      </c>
    </row>
    <row r="205" spans="22:29">
      <c r="V205" s="37">
        <v>2</v>
      </c>
      <c r="W205" s="48">
        <f>+H18-400000</f>
        <v>-400000</v>
      </c>
      <c r="X205" s="39">
        <v>1300000</v>
      </c>
      <c r="Y205" s="31"/>
      <c r="Z205" s="31"/>
      <c r="AA205" s="38">
        <v>2</v>
      </c>
      <c r="AB205" s="48">
        <f>+H18-900000</f>
        <v>-900000</v>
      </c>
      <c r="AC205" s="40">
        <v>3300000</v>
      </c>
    </row>
    <row r="206" spans="22:29">
      <c r="V206" s="37">
        <v>3</v>
      </c>
      <c r="W206" s="38">
        <f>+H18*0.75-75000</f>
        <v>-75000</v>
      </c>
      <c r="X206" s="39">
        <v>4100000</v>
      </c>
      <c r="Y206" s="31"/>
      <c r="Z206" s="31"/>
      <c r="AA206" s="38">
        <v>3</v>
      </c>
      <c r="AB206" s="38">
        <f>+H18*0.75-75000</f>
        <v>-75000</v>
      </c>
      <c r="AC206" s="40">
        <v>4100000</v>
      </c>
    </row>
    <row r="207" spans="22:29">
      <c r="V207" s="37">
        <v>4</v>
      </c>
      <c r="W207" s="38">
        <f>+H18*0.85-485000</f>
        <v>-485000</v>
      </c>
      <c r="X207" s="39">
        <v>7700000</v>
      </c>
      <c r="Y207" s="31"/>
      <c r="Z207" s="31"/>
      <c r="AA207" s="38">
        <v>4</v>
      </c>
      <c r="AB207" s="38">
        <f>+H18*0.85-485000</f>
        <v>-485000</v>
      </c>
      <c r="AC207" s="40">
        <v>7700000</v>
      </c>
    </row>
    <row r="208" spans="22:29">
      <c r="V208" s="37">
        <v>5</v>
      </c>
      <c r="W208" s="38">
        <f>+H18*0.95-1255000</f>
        <v>-1255000</v>
      </c>
      <c r="X208" s="39">
        <v>10000000</v>
      </c>
      <c r="Y208" s="31"/>
      <c r="Z208" s="31"/>
      <c r="AA208" s="38">
        <v>5</v>
      </c>
      <c r="AB208" s="38">
        <f>+H18*0.95-1255000</f>
        <v>-1255000</v>
      </c>
      <c r="AC208" s="40">
        <v>10000000</v>
      </c>
    </row>
    <row r="209" spans="21:29" ht="14.25" thickBot="1">
      <c r="V209" s="37">
        <v>6</v>
      </c>
      <c r="W209" s="48">
        <f>+H18-1755000</f>
        <v>-1755000</v>
      </c>
      <c r="X209" s="39"/>
      <c r="Y209" s="31"/>
      <c r="Z209" s="31"/>
      <c r="AA209" s="38">
        <v>6</v>
      </c>
      <c r="AB209" s="48">
        <f>+H18-1755000</f>
        <v>-1755000</v>
      </c>
      <c r="AC209" s="40"/>
    </row>
    <row r="210" spans="21:29" ht="14.25" thickBot="1">
      <c r="V210" s="49"/>
      <c r="W210" s="31"/>
      <c r="X210" s="31"/>
      <c r="Y210" s="44" t="s">
        <v>57</v>
      </c>
      <c r="Z210" s="111">
        <f>IF(Y18&lt;=Y189,1,IF(Y18&lt;=Y196,2,3))</f>
        <v>1</v>
      </c>
      <c r="AA210" s="31"/>
      <c r="AB210" s="31"/>
      <c r="AC210" s="50"/>
    </row>
    <row r="211" spans="21:29">
      <c r="V211" s="37">
        <v>1</v>
      </c>
      <c r="W211" s="108">
        <f>IF($Z210=1,W190,IF($Z210=2,W197,W204))</f>
        <v>0</v>
      </c>
      <c r="X211" s="38">
        <f>IF($Z210=1,X190,IF($Z210=2,X197,X204))</f>
        <v>600001</v>
      </c>
      <c r="Y211" s="44" t="s">
        <v>58</v>
      </c>
      <c r="Z211" s="31"/>
      <c r="AA211" s="38">
        <v>1</v>
      </c>
      <c r="AB211" s="108">
        <f>IF($Z210=1,AB190,IF($Z210=2,AB197,AB204))</f>
        <v>0</v>
      </c>
      <c r="AC211" s="40">
        <f>IF($Z210=1,AC190,IF($Z210=2,AC197,AC204))</f>
        <v>1100001</v>
      </c>
    </row>
    <row r="212" spans="21:29">
      <c r="V212" s="37">
        <v>2</v>
      </c>
      <c r="W212" s="108">
        <f>IF($Z210=1,W191,IF($Z210=2,W198,W205))</f>
        <v>-600000</v>
      </c>
      <c r="X212" s="38">
        <f>IF($Z210=1,X191,IF($Z210=2,X198,X205))</f>
        <v>1300000</v>
      </c>
      <c r="Y212" s="31"/>
      <c r="Z212" s="31"/>
      <c r="AA212" s="38">
        <v>2</v>
      </c>
      <c r="AB212" s="108">
        <f>IF($Z210=1,AB191,IF($Z210=2,AB198,AB205))</f>
        <v>-1100000</v>
      </c>
      <c r="AC212" s="40">
        <f>IF($Z210=1,AC191,IF($Z210=2,AC198,AC205))</f>
        <v>3300000</v>
      </c>
    </row>
    <row r="213" spans="21:29">
      <c r="V213" s="37">
        <v>3</v>
      </c>
      <c r="W213" s="108">
        <f>IF($Z210=1,W192,IF($Z210=2,W199,W206))</f>
        <v>-275000</v>
      </c>
      <c r="X213" s="38">
        <f>IF($Z210=1,X192,IF($Z210=2,X199,X206))</f>
        <v>4100000</v>
      </c>
      <c r="Y213" s="31"/>
      <c r="Z213" s="31"/>
      <c r="AA213" s="38">
        <v>3</v>
      </c>
      <c r="AB213" s="108">
        <f>IF($Z210=1,AB192,IF($Z210=2,AB199,AB206))</f>
        <v>-275000</v>
      </c>
      <c r="AC213" s="40">
        <f>IF($Z210=1,AC192,IF($Z210=2,AC199,AC206))</f>
        <v>4100000</v>
      </c>
    </row>
    <row r="214" spans="21:29">
      <c r="V214" s="37">
        <v>4</v>
      </c>
      <c r="W214" s="108">
        <f>IF($Z210=1,W193,IF($Z210=2,W200,W207))</f>
        <v>-685000</v>
      </c>
      <c r="X214" s="38">
        <f>IF($Z210=1,X193,IF($Z210=2,X200,X207))</f>
        <v>7700000</v>
      </c>
      <c r="Y214" s="31"/>
      <c r="Z214" s="31"/>
      <c r="AA214" s="38">
        <v>4</v>
      </c>
      <c r="AB214" s="108">
        <f>IF($Z210=1,AB193,IF($Z210=2,AB200,AB207))</f>
        <v>-685000</v>
      </c>
      <c r="AC214" s="40">
        <f>IF($Z210=1,AC193,IF($Z210=2,AC200,AC207))</f>
        <v>7700000</v>
      </c>
    </row>
    <row r="215" spans="21:29">
      <c r="V215" s="37">
        <v>5</v>
      </c>
      <c r="W215" s="108">
        <f>IF($Z210=1,W194,IF($Z210=2,W201,W208))</f>
        <v>-1455000</v>
      </c>
      <c r="X215" s="38">
        <f>IF($Z210=1,X194,IF($Z210=2,X201,X208))</f>
        <v>10000000</v>
      </c>
      <c r="Y215" s="31"/>
      <c r="Z215" s="31"/>
      <c r="AA215" s="38">
        <v>5</v>
      </c>
      <c r="AB215" s="108">
        <f>IF($Z210=1,AB194,IF($Z210=2,AB201,AB208))</f>
        <v>-1455000</v>
      </c>
      <c r="AC215" s="40">
        <f>IF($Z210=1,AC194,IF($Z210=2,AC201,AC208))</f>
        <v>10000000</v>
      </c>
    </row>
    <row r="216" spans="21:29">
      <c r="V216" s="37">
        <v>6</v>
      </c>
      <c r="W216" s="108">
        <f>IF($Z210=1,W195,IF($Z210=2,W202,W209))</f>
        <v>-1955000</v>
      </c>
      <c r="X216" s="38"/>
      <c r="Y216" s="31"/>
      <c r="Z216" s="31"/>
      <c r="AA216" s="38">
        <v>6</v>
      </c>
      <c r="AB216" s="108">
        <f>IF($Z210=1,AB195,IF($Z210=2,AB202,AB209))</f>
        <v>-1955000</v>
      </c>
      <c r="AC216" s="40"/>
    </row>
    <row r="217" spans="21:29" ht="14.25" thickBot="1">
      <c r="V217" s="49"/>
      <c r="W217" s="31"/>
      <c r="X217" s="113"/>
      <c r="Y217" s="31"/>
      <c r="Z217" s="31"/>
      <c r="AA217" s="31"/>
      <c r="AB217" s="31"/>
      <c r="AC217" s="114"/>
    </row>
    <row r="218" spans="21:29">
      <c r="V218" s="49"/>
      <c r="W218" s="31"/>
      <c r="X218" s="55">
        <f>+IF(H18&lt;X211,1,IF(H18&lt;X212,2,IF(H18&lt;X213,3,IF(H18&lt;X214,4,IF(H18&lt;X215,5,6)))))</f>
        <v>1</v>
      </c>
      <c r="Y218" s="31"/>
      <c r="Z218" s="31"/>
      <c r="AA218" s="31"/>
      <c r="AB218" s="31"/>
      <c r="AC218" s="55">
        <f>+IF(H18&lt;AC211,1,IF(H18&lt;AC212,2,IF(H18&lt;AC213,3,IF(H18&lt;AC214,4,IF(H18&lt;AC215,5,6)))))</f>
        <v>1</v>
      </c>
    </row>
    <row r="219" spans="21:29" ht="14.25" thickBot="1">
      <c r="V219" s="49"/>
      <c r="W219" s="31"/>
      <c r="X219" s="56">
        <f>ROUNDDOWN(LOOKUP(X218,V211:V216,W211:W216),0)</f>
        <v>0</v>
      </c>
      <c r="Y219" s="31"/>
      <c r="Z219" s="31"/>
      <c r="AA219" s="31"/>
      <c r="AB219" s="31"/>
      <c r="AC219" s="56">
        <f>ROUNDDOWN(LOOKUP(AC218,AA211:AA216,AB211:AB216),0)</f>
        <v>0</v>
      </c>
    </row>
    <row r="220" spans="21:29" ht="14.25" thickBot="1">
      <c r="V220" s="49"/>
      <c r="W220" s="31"/>
      <c r="X220" s="31"/>
      <c r="Y220" s="31"/>
      <c r="Z220" s="31"/>
      <c r="AA220" s="31"/>
      <c r="AB220" s="31"/>
      <c r="AC220" s="50"/>
    </row>
    <row r="221" spans="21:29" ht="14.25" thickBot="1">
      <c r="V221" s="62"/>
      <c r="W221" s="63" t="s">
        <v>30</v>
      </c>
      <c r="X221" s="64">
        <f>+IF(OR(F18="40歳～64歳",F18="*65歳～74歳*"),X219,IF(F18="65歳～74歳",AC219,0))</f>
        <v>0</v>
      </c>
      <c r="Y221" s="65"/>
      <c r="Z221" s="65"/>
      <c r="AA221" s="65"/>
      <c r="AB221" s="65"/>
      <c r="AC221" s="66"/>
    </row>
    <row r="222" spans="21:29" ht="14.25" thickBot="1">
      <c r="U222" s="27">
        <v>7</v>
      </c>
      <c r="V222" s="28" t="s">
        <v>20</v>
      </c>
      <c r="W222" s="29"/>
      <c r="X222" s="29"/>
      <c r="Y222" s="110">
        <v>10000000</v>
      </c>
      <c r="Z222" s="106" t="s">
        <v>53</v>
      </c>
      <c r="AA222" s="29"/>
      <c r="AB222" s="29" t="s">
        <v>21</v>
      </c>
      <c r="AC222" s="30"/>
    </row>
    <row r="223" spans="21:29">
      <c r="V223" s="37">
        <v>1</v>
      </c>
      <c r="W223" s="38">
        <v>0</v>
      </c>
      <c r="X223" s="39">
        <v>600001</v>
      </c>
      <c r="Y223" s="31"/>
      <c r="Z223" s="31"/>
      <c r="AA223" s="38">
        <v>1</v>
      </c>
      <c r="AB223" s="38">
        <v>0</v>
      </c>
      <c r="AC223" s="40">
        <v>1100001</v>
      </c>
    </row>
    <row r="224" spans="21:29">
      <c r="V224" s="37">
        <v>2</v>
      </c>
      <c r="W224" s="48">
        <f>+H19-600000</f>
        <v>-600000</v>
      </c>
      <c r="X224" s="39">
        <v>1300000</v>
      </c>
      <c r="Y224" s="31"/>
      <c r="Z224" s="31"/>
      <c r="AA224" s="38">
        <v>2</v>
      </c>
      <c r="AB224" s="48">
        <f>+H19-1100000</f>
        <v>-1100000</v>
      </c>
      <c r="AC224" s="40">
        <v>3300000</v>
      </c>
    </row>
    <row r="225" spans="22:29">
      <c r="V225" s="37">
        <v>3</v>
      </c>
      <c r="W225" s="38">
        <f>+H19*0.75-275000</f>
        <v>-275000</v>
      </c>
      <c r="X225" s="39">
        <v>4100000</v>
      </c>
      <c r="Y225" s="31"/>
      <c r="Z225" s="31"/>
      <c r="AA225" s="38">
        <v>3</v>
      </c>
      <c r="AB225" s="38">
        <f>+H19*0.75-275000</f>
        <v>-275000</v>
      </c>
      <c r="AC225" s="40">
        <v>4100000</v>
      </c>
    </row>
    <row r="226" spans="22:29">
      <c r="V226" s="37">
        <v>4</v>
      </c>
      <c r="W226" s="38">
        <f>+H19*0.85-685000</f>
        <v>-685000</v>
      </c>
      <c r="X226" s="39">
        <v>7700000</v>
      </c>
      <c r="Y226" s="31"/>
      <c r="Z226" s="31"/>
      <c r="AA226" s="38">
        <v>4</v>
      </c>
      <c r="AB226" s="38">
        <f>+H19*0.85-685000</f>
        <v>-685000</v>
      </c>
      <c r="AC226" s="40">
        <v>7700000</v>
      </c>
    </row>
    <row r="227" spans="22:29">
      <c r="V227" s="37">
        <v>5</v>
      </c>
      <c r="W227" s="38">
        <f>+H19*0.95-1455000</f>
        <v>-1455000</v>
      </c>
      <c r="X227" s="39">
        <v>10000000</v>
      </c>
      <c r="Y227" s="31"/>
      <c r="Z227" s="31"/>
      <c r="AA227" s="38">
        <v>5</v>
      </c>
      <c r="AB227" s="38">
        <f>+H19*0.95-1455000</f>
        <v>-1455000</v>
      </c>
      <c r="AC227" s="40">
        <v>10000000</v>
      </c>
    </row>
    <row r="228" spans="22:29">
      <c r="V228" s="37">
        <v>6</v>
      </c>
      <c r="W228" s="48">
        <f>+H19-1955000</f>
        <v>-1955000</v>
      </c>
      <c r="X228" s="39"/>
      <c r="Y228" s="31"/>
      <c r="Z228" s="31"/>
      <c r="AA228" s="38">
        <v>6</v>
      </c>
      <c r="AB228" s="48">
        <f>+H19-1955000</f>
        <v>-1955000</v>
      </c>
      <c r="AC228" s="40"/>
    </row>
    <row r="229" spans="22:29">
      <c r="V229" s="49"/>
      <c r="W229" s="31"/>
      <c r="X229" s="31"/>
      <c r="Y229" s="109">
        <v>20000000</v>
      </c>
      <c r="Z229" s="107" t="s">
        <v>54</v>
      </c>
      <c r="AA229" s="31"/>
      <c r="AB229" s="31"/>
      <c r="AC229" s="50"/>
    </row>
    <row r="230" spans="22:29">
      <c r="V230" s="37">
        <v>1</v>
      </c>
      <c r="W230" s="38">
        <v>0</v>
      </c>
      <c r="X230" s="39">
        <v>500001</v>
      </c>
      <c r="Y230" s="31"/>
      <c r="Z230" s="31"/>
      <c r="AA230" s="38">
        <v>1</v>
      </c>
      <c r="AB230" s="38">
        <v>0</v>
      </c>
      <c r="AC230" s="40">
        <v>1000001</v>
      </c>
    </row>
    <row r="231" spans="22:29">
      <c r="V231" s="37">
        <v>2</v>
      </c>
      <c r="W231" s="48">
        <f>+H19-500000</f>
        <v>-500000</v>
      </c>
      <c r="X231" s="39">
        <v>1300000</v>
      </c>
      <c r="Y231" s="31"/>
      <c r="Z231" s="31"/>
      <c r="AA231" s="38">
        <v>2</v>
      </c>
      <c r="AB231" s="48">
        <f>+H19-1000000</f>
        <v>-1000000</v>
      </c>
      <c r="AC231" s="40">
        <v>3300000</v>
      </c>
    </row>
    <row r="232" spans="22:29">
      <c r="V232" s="37">
        <v>3</v>
      </c>
      <c r="W232" s="38">
        <f>+H19*0.75-175000</f>
        <v>-175000</v>
      </c>
      <c r="X232" s="39">
        <v>4100000</v>
      </c>
      <c r="Y232" s="31"/>
      <c r="Z232" s="31"/>
      <c r="AA232" s="38">
        <v>3</v>
      </c>
      <c r="AB232" s="38">
        <f>+H19*0.75-175000</f>
        <v>-175000</v>
      </c>
      <c r="AC232" s="40">
        <v>4100000</v>
      </c>
    </row>
    <row r="233" spans="22:29">
      <c r="V233" s="37">
        <v>4</v>
      </c>
      <c r="W233" s="38">
        <f>+H19*0.85-585000</f>
        <v>-585000</v>
      </c>
      <c r="X233" s="39">
        <v>7700000</v>
      </c>
      <c r="Y233" s="31"/>
      <c r="Z233" s="31"/>
      <c r="AA233" s="38">
        <v>4</v>
      </c>
      <c r="AB233" s="38">
        <f>+H19*0.85-585000</f>
        <v>-585000</v>
      </c>
      <c r="AC233" s="40">
        <v>7700000</v>
      </c>
    </row>
    <row r="234" spans="22:29">
      <c r="V234" s="37">
        <v>5</v>
      </c>
      <c r="W234" s="38">
        <f>+H19*0.95-1355000</f>
        <v>-1355000</v>
      </c>
      <c r="X234" s="39">
        <v>10000000</v>
      </c>
      <c r="Y234" s="31"/>
      <c r="Z234" s="31"/>
      <c r="AA234" s="38">
        <v>5</v>
      </c>
      <c r="AB234" s="38">
        <f>+H19*0.95-1355000</f>
        <v>-1355000</v>
      </c>
      <c r="AC234" s="40">
        <v>10000000</v>
      </c>
    </row>
    <row r="235" spans="22:29">
      <c r="V235" s="37">
        <v>6</v>
      </c>
      <c r="W235" s="48">
        <f>+H19-1855000</f>
        <v>-1855000</v>
      </c>
      <c r="X235" s="39"/>
      <c r="Y235" s="31"/>
      <c r="Z235" s="31"/>
      <c r="AA235" s="38">
        <v>6</v>
      </c>
      <c r="AB235" s="48">
        <f>+H19-1855000</f>
        <v>-1855000</v>
      </c>
      <c r="AC235" s="40"/>
    </row>
    <row r="236" spans="22:29">
      <c r="V236" s="49"/>
      <c r="W236" s="105"/>
      <c r="X236" s="104"/>
      <c r="Y236" s="109">
        <v>20000000</v>
      </c>
      <c r="Z236" s="107" t="s">
        <v>55</v>
      </c>
      <c r="AA236" s="31"/>
      <c r="AB236" s="105"/>
      <c r="AC236" s="50"/>
    </row>
    <row r="237" spans="22:29">
      <c r="V237" s="37">
        <v>1</v>
      </c>
      <c r="W237" s="38">
        <v>0</v>
      </c>
      <c r="X237" s="39">
        <v>400001</v>
      </c>
      <c r="Y237" s="31"/>
      <c r="Z237" s="31"/>
      <c r="AA237" s="38">
        <v>1</v>
      </c>
      <c r="AB237" s="38">
        <v>0</v>
      </c>
      <c r="AC237" s="40">
        <v>900001</v>
      </c>
    </row>
    <row r="238" spans="22:29">
      <c r="V238" s="37">
        <v>2</v>
      </c>
      <c r="W238" s="48">
        <f>+H19-400000</f>
        <v>-400000</v>
      </c>
      <c r="X238" s="39">
        <v>1300000</v>
      </c>
      <c r="Y238" s="31"/>
      <c r="Z238" s="31"/>
      <c r="AA238" s="38">
        <v>2</v>
      </c>
      <c r="AB238" s="48">
        <f>+H19-900000</f>
        <v>-900000</v>
      </c>
      <c r="AC238" s="40">
        <v>3300000</v>
      </c>
    </row>
    <row r="239" spans="22:29">
      <c r="V239" s="37">
        <v>3</v>
      </c>
      <c r="W239" s="38">
        <f>+H19*0.75-75000</f>
        <v>-75000</v>
      </c>
      <c r="X239" s="39">
        <v>4100000</v>
      </c>
      <c r="Y239" s="31"/>
      <c r="Z239" s="31"/>
      <c r="AA239" s="38">
        <v>3</v>
      </c>
      <c r="AB239" s="38">
        <f>+H19*0.75-75000</f>
        <v>-75000</v>
      </c>
      <c r="AC239" s="40">
        <v>4100000</v>
      </c>
    </row>
    <row r="240" spans="22:29">
      <c r="V240" s="37">
        <v>4</v>
      </c>
      <c r="W240" s="38">
        <f>+H19*0.85-485000</f>
        <v>-485000</v>
      </c>
      <c r="X240" s="39">
        <v>7700000</v>
      </c>
      <c r="Y240" s="31"/>
      <c r="Z240" s="31"/>
      <c r="AA240" s="38">
        <v>4</v>
      </c>
      <c r="AB240" s="38">
        <f>+H19*0.85-485000</f>
        <v>-485000</v>
      </c>
      <c r="AC240" s="40">
        <v>7700000</v>
      </c>
    </row>
    <row r="241" spans="22:29">
      <c r="V241" s="37">
        <v>5</v>
      </c>
      <c r="W241" s="38">
        <f>+H19*0.95-1255000</f>
        <v>-1255000</v>
      </c>
      <c r="X241" s="39">
        <v>10000000</v>
      </c>
      <c r="Y241" s="31"/>
      <c r="Z241" s="31"/>
      <c r="AA241" s="38">
        <v>5</v>
      </c>
      <c r="AB241" s="38">
        <f>+H19*0.95-1255000</f>
        <v>-1255000</v>
      </c>
      <c r="AC241" s="40">
        <v>10000000</v>
      </c>
    </row>
    <row r="242" spans="22:29" ht="14.25" thickBot="1">
      <c r="V242" s="37">
        <v>6</v>
      </c>
      <c r="W242" s="48">
        <f>+H19-1755000</f>
        <v>-1755000</v>
      </c>
      <c r="X242" s="39"/>
      <c r="Y242" s="31"/>
      <c r="Z242" s="31"/>
      <c r="AA242" s="38">
        <v>6</v>
      </c>
      <c r="AB242" s="48">
        <f>+H19-1755000</f>
        <v>-1755000</v>
      </c>
      <c r="AC242" s="40"/>
    </row>
    <row r="243" spans="22:29" ht="14.25" thickBot="1">
      <c r="V243" s="49"/>
      <c r="W243" s="31"/>
      <c r="X243" s="31"/>
      <c r="Y243" s="44" t="s">
        <v>57</v>
      </c>
      <c r="Z243" s="111">
        <f>IF(Y19&lt;=Y222,1,IF(Y19&lt;=Y229,2,3))</f>
        <v>1</v>
      </c>
      <c r="AA243" s="31"/>
      <c r="AB243" s="31"/>
      <c r="AC243" s="50"/>
    </row>
    <row r="244" spans="22:29">
      <c r="V244" s="37">
        <v>1</v>
      </c>
      <c r="W244" s="108">
        <f>IF($Z243=1,W223,IF($Z243=2,W230,W237))</f>
        <v>0</v>
      </c>
      <c r="X244" s="38">
        <f>IF($Z243=1,X223,IF($Z243=2,X230,X237))</f>
        <v>600001</v>
      </c>
      <c r="Y244" s="44" t="s">
        <v>58</v>
      </c>
      <c r="Z244" s="31"/>
      <c r="AA244" s="38">
        <v>1</v>
      </c>
      <c r="AB244" s="108">
        <f>IF($Z243=1,AB223,IF($Z243=2,AB230,AB237))</f>
        <v>0</v>
      </c>
      <c r="AC244" s="40">
        <f>IF($Z243=1,AC223,IF($Z243=2,AC230,AC237))</f>
        <v>1100001</v>
      </c>
    </row>
    <row r="245" spans="22:29">
      <c r="V245" s="37">
        <v>2</v>
      </c>
      <c r="W245" s="108">
        <f>IF($Z243=1,W224,IF($Z243=2,W231,W238))</f>
        <v>-600000</v>
      </c>
      <c r="X245" s="38">
        <f>IF($Z243=1,X224,IF($Z243=2,X231,X238))</f>
        <v>1300000</v>
      </c>
      <c r="Y245" s="31"/>
      <c r="Z245" s="31"/>
      <c r="AA245" s="38">
        <v>2</v>
      </c>
      <c r="AB245" s="108">
        <f>IF($Z243=1,AB224,IF($Z243=2,AB231,AB238))</f>
        <v>-1100000</v>
      </c>
      <c r="AC245" s="40">
        <f>IF($Z243=1,AC224,IF($Z243=2,AC231,AC238))</f>
        <v>3300000</v>
      </c>
    </row>
    <row r="246" spans="22:29">
      <c r="V246" s="37">
        <v>3</v>
      </c>
      <c r="W246" s="108">
        <f>IF($Z243=1,W225,IF($Z243=2,W232,W239))</f>
        <v>-275000</v>
      </c>
      <c r="X246" s="38">
        <f>IF($Z243=1,X225,IF($Z243=2,X232,X239))</f>
        <v>4100000</v>
      </c>
      <c r="Y246" s="31"/>
      <c r="Z246" s="31"/>
      <c r="AA246" s="38">
        <v>3</v>
      </c>
      <c r="AB246" s="108">
        <f>IF($Z243=1,AB225,IF($Z243=2,AB232,AB239))</f>
        <v>-275000</v>
      </c>
      <c r="AC246" s="40">
        <f>IF($Z243=1,AC225,IF($Z243=2,AC232,AC239))</f>
        <v>4100000</v>
      </c>
    </row>
    <row r="247" spans="22:29">
      <c r="V247" s="37">
        <v>4</v>
      </c>
      <c r="W247" s="108">
        <f>IF($Z243=1,W226,IF($Z243=2,W233,W240))</f>
        <v>-685000</v>
      </c>
      <c r="X247" s="38">
        <f>IF($Z243=1,X226,IF($Z243=2,X233,X240))</f>
        <v>7700000</v>
      </c>
      <c r="Y247" s="31"/>
      <c r="Z247" s="31"/>
      <c r="AA247" s="38">
        <v>4</v>
      </c>
      <c r="AB247" s="108">
        <f>IF($Z243=1,AB226,IF($Z243=2,AB233,AB240))</f>
        <v>-685000</v>
      </c>
      <c r="AC247" s="40">
        <f>IF($Z243=1,AC226,IF($Z243=2,AC233,AC240))</f>
        <v>7700000</v>
      </c>
    </row>
    <row r="248" spans="22:29">
      <c r="V248" s="37">
        <v>5</v>
      </c>
      <c r="W248" s="108">
        <f>IF($Z243=1,W227,IF($Z243=2,W234,W241))</f>
        <v>-1455000</v>
      </c>
      <c r="X248" s="38">
        <f>IF($Z243=1,X227,IF($Z243=2,X234,X241))</f>
        <v>10000000</v>
      </c>
      <c r="Y248" s="31"/>
      <c r="Z248" s="31"/>
      <c r="AA248" s="38">
        <v>5</v>
      </c>
      <c r="AB248" s="108">
        <f>IF($Z243=1,AB227,IF($Z243=2,AB234,AB241))</f>
        <v>-1455000</v>
      </c>
      <c r="AC248" s="40">
        <f>IF($Z243=1,AC227,IF($Z243=2,AC234,AC241))</f>
        <v>10000000</v>
      </c>
    </row>
    <row r="249" spans="22:29">
      <c r="V249" s="37">
        <v>6</v>
      </c>
      <c r="W249" s="108">
        <f>IF($Z243=1,W228,IF($Z243=2,W235,W242))</f>
        <v>-1955000</v>
      </c>
      <c r="X249" s="38"/>
      <c r="Y249" s="31"/>
      <c r="Z249" s="31"/>
      <c r="AA249" s="38">
        <v>6</v>
      </c>
      <c r="AB249" s="108">
        <f>IF($Z243=1,AB228,IF($Z243=2,AB235,AB242))</f>
        <v>-1955000</v>
      </c>
      <c r="AC249" s="40"/>
    </row>
    <row r="250" spans="22:29" ht="14.25" thickBot="1">
      <c r="V250" s="49"/>
      <c r="W250" s="31"/>
      <c r="X250" s="113"/>
      <c r="Y250" s="31"/>
      <c r="Z250" s="31"/>
      <c r="AA250" s="31"/>
      <c r="AB250" s="31"/>
      <c r="AC250" s="114"/>
    </row>
    <row r="251" spans="22:29">
      <c r="V251" s="49"/>
      <c r="W251" s="31"/>
      <c r="X251" s="55">
        <f>+IF(H19&lt;X244,1,IF(H19&lt;X245,2,IF(H19&lt;X246,3,IF(H19&lt;X247,4,IF(H19&lt;X248,5,6)))))</f>
        <v>1</v>
      </c>
      <c r="Y251" s="31"/>
      <c r="Z251" s="31"/>
      <c r="AA251" s="31"/>
      <c r="AB251" s="31"/>
      <c r="AC251" s="55">
        <f>+IF(H19&lt;AC244,1,IF(H19&lt;AC245,2,IF(H19&lt;AC246,3,IF(H19&lt;AC247,4,IF(H19&lt;AC248,5,6)))))</f>
        <v>1</v>
      </c>
    </row>
    <row r="252" spans="22:29" ht="14.25" thickBot="1">
      <c r="V252" s="49"/>
      <c r="W252" s="31"/>
      <c r="X252" s="56">
        <f>ROUNDDOWN(LOOKUP(X251,V244:V249,W244:W249),0)</f>
        <v>0</v>
      </c>
      <c r="Y252" s="31"/>
      <c r="Z252" s="31"/>
      <c r="AA252" s="31"/>
      <c r="AB252" s="31"/>
      <c r="AC252" s="56">
        <f>ROUNDDOWN(LOOKUP(AC251,AA244:AA249,AB244:AB249),0)</f>
        <v>0</v>
      </c>
    </row>
    <row r="253" spans="22:29" ht="14.25" thickBot="1">
      <c r="V253" s="49"/>
      <c r="W253" s="31"/>
      <c r="X253" s="31"/>
      <c r="Y253" s="31"/>
      <c r="Z253" s="31"/>
      <c r="AA253" s="31"/>
      <c r="AB253" s="31"/>
      <c r="AC253" s="50"/>
    </row>
    <row r="254" spans="22:29" ht="14.25" thickBot="1">
      <c r="V254" s="62"/>
      <c r="W254" s="63" t="s">
        <v>30</v>
      </c>
      <c r="X254" s="64">
        <f>+IF(OR(F19="40歳～64歳",F19="*65歳～74歳*"),X252,IF(F19="65歳～74歳",AC252,0))</f>
        <v>0</v>
      </c>
      <c r="Y254" s="65"/>
      <c r="Z254" s="65"/>
      <c r="AA254" s="65"/>
      <c r="AB254" s="65"/>
      <c r="AC254" s="66"/>
    </row>
  </sheetData>
  <sheetProtection algorithmName="SHA-512" hashValue="umL4tLudJCQGr1TV8f2AuZXlbuOFxvHWKm1zJLjedKXwAz0dhbO7+8Etz7vfDAVCVScoaGT6nC8Gbdtz8kO3SA==" saltValue="gtS1NXGDkYOTOtb5R77S7Q==" spinCount="100000" sheet="1" objects="1" scenarios="1"/>
  <mergeCells count="168">
    <mergeCell ref="V11:V12"/>
    <mergeCell ref="X11:X12"/>
    <mergeCell ref="Z11:Z12"/>
    <mergeCell ref="AI85:AJ85"/>
    <mergeCell ref="AI86:AJ86"/>
    <mergeCell ref="AI87:AJ87"/>
    <mergeCell ref="AB11:AB12"/>
    <mergeCell ref="E10:E12"/>
    <mergeCell ref="W11:W12"/>
    <mergeCell ref="AC11:AC12"/>
    <mergeCell ref="I30:J31"/>
    <mergeCell ref="K30:K31"/>
    <mergeCell ref="L30:L31"/>
    <mergeCell ref="M30:M31"/>
    <mergeCell ref="N30:N31"/>
    <mergeCell ref="P22:Q22"/>
    <mergeCell ref="L20:M20"/>
    <mergeCell ref="AI82:AJ82"/>
    <mergeCell ref="AI84:AJ84"/>
    <mergeCell ref="AI66:AJ66"/>
    <mergeCell ref="AI67:AJ67"/>
    <mergeCell ref="AI68:AJ68"/>
    <mergeCell ref="AI48:AJ48"/>
    <mergeCell ref="AI49:AJ49"/>
    <mergeCell ref="AI88:AJ88"/>
    <mergeCell ref="AI80:AJ80"/>
    <mergeCell ref="AI81:AJ81"/>
    <mergeCell ref="F48:G48"/>
    <mergeCell ref="AI98:AJ98"/>
    <mergeCell ref="AI99:AJ99"/>
    <mergeCell ref="AI76:AJ76"/>
    <mergeCell ref="AI77:AJ77"/>
    <mergeCell ref="AI78:AJ78"/>
    <mergeCell ref="AI79:AJ79"/>
    <mergeCell ref="AI69:AJ69"/>
    <mergeCell ref="AI70:AJ70"/>
    <mergeCell ref="AI72:AJ72"/>
    <mergeCell ref="AI57:AJ57"/>
    <mergeCell ref="AI58:AJ58"/>
    <mergeCell ref="AI60:AJ60"/>
    <mergeCell ref="AI61:AJ61"/>
    <mergeCell ref="AI62:AJ62"/>
    <mergeCell ref="AI73:AJ73"/>
    <mergeCell ref="AI74:AJ74"/>
    <mergeCell ref="AI75:AJ75"/>
    <mergeCell ref="AI63:AJ63"/>
    <mergeCell ref="AI64:AJ64"/>
    <mergeCell ref="AI65:AJ65"/>
    <mergeCell ref="AI104:AJ104"/>
    <mergeCell ref="AI105:AJ105"/>
    <mergeCell ref="AI106:AJ106"/>
    <mergeCell ref="AI89:AJ89"/>
    <mergeCell ref="AI90:AJ90"/>
    <mergeCell ref="AI91:AJ91"/>
    <mergeCell ref="AI92:AJ92"/>
    <mergeCell ref="AI93:AJ93"/>
    <mergeCell ref="AI94:AJ94"/>
    <mergeCell ref="AI102:AJ102"/>
    <mergeCell ref="AI100:AJ100"/>
    <mergeCell ref="AI101:AJ101"/>
    <mergeCell ref="AI96:AJ96"/>
    <mergeCell ref="AI97:AJ97"/>
    <mergeCell ref="AI103:AJ103"/>
    <mergeCell ref="AI50:AJ50"/>
    <mergeCell ref="F56:G56"/>
    <mergeCell ref="AI51:AJ51"/>
    <mergeCell ref="AI52:AJ52"/>
    <mergeCell ref="F55:G55"/>
    <mergeCell ref="AI53:AJ53"/>
    <mergeCell ref="AI54:AJ54"/>
    <mergeCell ref="AI55:AJ55"/>
    <mergeCell ref="AI56:AJ56"/>
    <mergeCell ref="AI37:AJ37"/>
    <mergeCell ref="AI31:AJ31"/>
    <mergeCell ref="Q35:R35"/>
    <mergeCell ref="AI34:AJ34"/>
    <mergeCell ref="F44:L44"/>
    <mergeCell ref="AI38:AJ38"/>
    <mergeCell ref="AI45:AJ45"/>
    <mergeCell ref="AI46:AJ46"/>
    <mergeCell ref="AI40:AJ40"/>
    <mergeCell ref="Q37:R37"/>
    <mergeCell ref="F46:G46"/>
    <mergeCell ref="K42:L42"/>
    <mergeCell ref="M42:N42"/>
    <mergeCell ref="F45:G45"/>
    <mergeCell ref="AI39:AJ39"/>
    <mergeCell ref="AI43:AJ43"/>
    <mergeCell ref="AI44:AJ44"/>
    <mergeCell ref="AI41:AJ41"/>
    <mergeCell ref="AI42:AJ42"/>
    <mergeCell ref="O42:P42"/>
    <mergeCell ref="AI32:AJ32"/>
    <mergeCell ref="AI33:AJ33"/>
    <mergeCell ref="Q34:R34"/>
    <mergeCell ref="AI36:AJ36"/>
    <mergeCell ref="AI28:AJ28"/>
    <mergeCell ref="N27:O27"/>
    <mergeCell ref="P27:Q27"/>
    <mergeCell ref="N29:O29"/>
    <mergeCell ref="P29:Q29"/>
    <mergeCell ref="Q32:R32"/>
    <mergeCell ref="AI29:AJ29"/>
    <mergeCell ref="AI30:AJ30"/>
    <mergeCell ref="AI25:AJ25"/>
    <mergeCell ref="AI26:AJ26"/>
    <mergeCell ref="AI27:AJ27"/>
    <mergeCell ref="Q31:R31"/>
    <mergeCell ref="AI24:AJ24"/>
    <mergeCell ref="C22:I22"/>
    <mergeCell ref="J22:K22"/>
    <mergeCell ref="L22:M22"/>
    <mergeCell ref="N22:O22"/>
    <mergeCell ref="L10:M10"/>
    <mergeCell ref="N10:O10"/>
    <mergeCell ref="P10:Q10"/>
    <mergeCell ref="C10:D12"/>
    <mergeCell ref="C20:K20"/>
    <mergeCell ref="C21:I21"/>
    <mergeCell ref="J21:K21"/>
    <mergeCell ref="L21:M21"/>
    <mergeCell ref="N21:O21"/>
    <mergeCell ref="P21:Q21"/>
    <mergeCell ref="AG23:AH23"/>
    <mergeCell ref="P23:Q23"/>
    <mergeCell ref="C23:I24"/>
    <mergeCell ref="J23:K23"/>
    <mergeCell ref="L23:M23"/>
    <mergeCell ref="N23:O23"/>
    <mergeCell ref="N20:O20"/>
    <mergeCell ref="P20:Q20"/>
    <mergeCell ref="Y11:Y12"/>
    <mergeCell ref="AA11:AA12"/>
    <mergeCell ref="F50:G50"/>
    <mergeCell ref="F51:G51"/>
    <mergeCell ref="F52:G52"/>
    <mergeCell ref="F53:G53"/>
    <mergeCell ref="C3:I3"/>
    <mergeCell ref="P8:Q8"/>
    <mergeCell ref="F10:F12"/>
    <mergeCell ref="J10:J12"/>
    <mergeCell ref="K10:K12"/>
    <mergeCell ref="N26:O26"/>
    <mergeCell ref="P26:Q26"/>
    <mergeCell ref="C25:H25"/>
    <mergeCell ref="K25:L25"/>
    <mergeCell ref="N25:O25"/>
    <mergeCell ref="P25:Q25"/>
    <mergeCell ref="Q38:R38"/>
    <mergeCell ref="M46:N46"/>
    <mergeCell ref="O46:P46"/>
    <mergeCell ref="O47:P47"/>
    <mergeCell ref="F47:G47"/>
    <mergeCell ref="M47:N47"/>
    <mergeCell ref="I41:J41"/>
    <mergeCell ref="K41:L41"/>
    <mergeCell ref="R10:S10"/>
    <mergeCell ref="R20:S20"/>
    <mergeCell ref="R21:S21"/>
    <mergeCell ref="R22:S22"/>
    <mergeCell ref="R23:S23"/>
    <mergeCell ref="F49:G49"/>
    <mergeCell ref="Q41:R41"/>
    <mergeCell ref="Q42:R42"/>
    <mergeCell ref="C26:H26"/>
    <mergeCell ref="K26:L26"/>
    <mergeCell ref="M41:N41"/>
    <mergeCell ref="O41:P41"/>
  </mergeCells>
  <phoneticPr fontId="29"/>
  <conditionalFormatting sqref="F13:I19">
    <cfRule type="colorScale" priority="1">
      <colorScale>
        <cfvo type="min"/>
        <cfvo type="max"/>
        <color theme="8" tint="0.79995117038483843"/>
        <color theme="8" tint="0.79995117038483843"/>
      </colorScale>
    </cfRule>
  </conditionalFormatting>
  <dataValidations xWindow="344" yWindow="601" count="5">
    <dataValidation type="list" errorStyle="warning" allowBlank="1" showInputMessage="1" showErrorMessage="1" errorTitle="リストより選択してください" promptTitle="該当する年齢をリストより選択してください" prompt="　" sqref="F13" xr:uid="{77C58E11-CC47-4F18-BCFA-8D5F67D899AC}">
      <formula1>"18歳未満,18歳～39歳,40歳～64歳,*65歳～74歳*,65歳～74歳,75歳以上"</formula1>
    </dataValidation>
    <dataValidation type="whole" allowBlank="1" showInputMessage="1" showErrorMessage="1" errorTitle="★★★申し訳ございません。　数字を入力してください★★★" error="数字以外は保険税の試算ができません。もう一度入力をお願いいたします。" sqref="I13:I19" xr:uid="{204716A1-5395-407C-AD4D-EF6A8D09A6DE}">
      <formula1>0</formula1>
      <formula2>1000000000000</formula2>
    </dataValidation>
    <dataValidation type="whole" allowBlank="1" showInputMessage="1" showErrorMessage="1" errorTitle="★★★申し訳ございません。　数字を入力してください★★★" error="数字以外は保険税の試算ができません。_x000a_もう一度入力をお願いいたします。" promptTitle="0円の場合は、０と入力してください。" prompt="【収入・年金・その他所得】_x000a_すべてに該当する数字を入力してください。" sqref="G13:G19" xr:uid="{71D81183-A6E3-4974-A7BE-95B40B05FA58}">
      <formula1>0</formula1>
      <formula2>10000000000000000</formula2>
    </dataValidation>
    <dataValidation type="whole" allowBlank="1" showInputMessage="1" showErrorMessage="1" errorTitle="★★★申し訳ございません。　数字を入力してください★★★" error="数字以外は保険税の試算ができません。_x000a_もう一度入力をお願いいたします。" promptTitle="0歳～39歳のかたは年金収入の判定はしません。" prompt="障害年金、遺族年金等は保険税の算定外になります。" sqref="H13:H19" xr:uid="{6762F42C-30BA-412E-AC3B-15100D45D9BB}">
      <formula1>0</formula1>
      <formula2>1000000000000</formula2>
    </dataValidation>
    <dataValidation type="list" allowBlank="1" showInputMessage="1" showErrorMessage="1" promptTitle="該当する年齢をリストより選択してください" sqref="F14:F19" xr:uid="{A73DB885-87B8-4604-AE2F-A8F2D01E4438}">
      <formula1>"未就学児,小学生～17歳,18歳～39歳,40歳～64歳,*65歳～74歳*,65歳～74歳"</formula1>
    </dataValidation>
  </dataValidations>
  <printOptions horizontalCentered="1" verticalCentered="1"/>
  <pageMargins left="0.19" right="0.19685039370078741" top="0.19685039370078741" bottom="0.19685039370078741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2</xdr:col>
                    <xdr:colOff>457200</xdr:colOff>
                    <xdr:row>11</xdr:row>
                    <xdr:rowOff>266700</xdr:rowOff>
                  </from>
                  <to>
                    <xdr:col>4</xdr:col>
                    <xdr:colOff>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2</xdr:col>
                    <xdr:colOff>457200</xdr:colOff>
                    <xdr:row>13</xdr:row>
                    <xdr:rowOff>28575</xdr:rowOff>
                  </from>
                  <to>
                    <xdr:col>4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2</xdr:col>
                    <xdr:colOff>457200</xdr:colOff>
                    <xdr:row>14</xdr:row>
                    <xdr:rowOff>19050</xdr:rowOff>
                  </from>
                  <to>
                    <xdr:col>4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2</xdr:col>
                    <xdr:colOff>457200</xdr:colOff>
                    <xdr:row>15</xdr:row>
                    <xdr:rowOff>19050</xdr:rowOff>
                  </from>
                  <to>
                    <xdr:col>4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2</xdr:col>
                    <xdr:colOff>457200</xdr:colOff>
                    <xdr:row>16</xdr:row>
                    <xdr:rowOff>9525</xdr:rowOff>
                  </from>
                  <to>
                    <xdr:col>4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>
                  <from>
                    <xdr:col>2</xdr:col>
                    <xdr:colOff>457200</xdr:colOff>
                    <xdr:row>17</xdr:row>
                    <xdr:rowOff>9525</xdr:rowOff>
                  </from>
                  <to>
                    <xdr:col>4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11" name="Check Box 2134">
              <controlPr locked="0" defaultSize="0" autoFill="0" autoLine="0" autoPict="0">
                <anchor moveWithCells="1">
                  <from>
                    <xdr:col>4</xdr:col>
                    <xdr:colOff>142875</xdr:colOff>
                    <xdr:row>11</xdr:row>
                    <xdr:rowOff>266700</xdr:rowOff>
                  </from>
                  <to>
                    <xdr:col>4</xdr:col>
                    <xdr:colOff>371475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12" name="Check Box 2135">
              <controlPr locked="0" defaultSize="0" autoFill="0" autoLine="0" autoPict="0">
                <anchor moveWithCells="1">
                  <from>
                    <xdr:col>4</xdr:col>
                    <xdr:colOff>142875</xdr:colOff>
                    <xdr:row>12</xdr:row>
                    <xdr:rowOff>285750</xdr:rowOff>
                  </from>
                  <to>
                    <xdr:col>4</xdr:col>
                    <xdr:colOff>371475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13" name="Check Box 2136">
              <controlPr locked="0" defaultSize="0" autoFill="0" autoLine="0" autoPict="0">
                <anchor moveWithCells="1">
                  <from>
                    <xdr:col>4</xdr:col>
                    <xdr:colOff>142875</xdr:colOff>
                    <xdr:row>14</xdr:row>
                    <xdr:rowOff>9525</xdr:rowOff>
                  </from>
                  <to>
                    <xdr:col>4</xdr:col>
                    <xdr:colOff>371475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14" name="Check Box 2137">
              <controlPr locked="0" defaultSize="0" autoFill="0" autoLine="0" autoPict="0">
                <anchor moveWithCells="1">
                  <from>
                    <xdr:col>4</xdr:col>
                    <xdr:colOff>142875</xdr:colOff>
                    <xdr:row>15</xdr:row>
                    <xdr:rowOff>9525</xdr:rowOff>
                  </from>
                  <to>
                    <xdr:col>4</xdr:col>
                    <xdr:colOff>371475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15" name="Check Box 2138">
              <controlPr locked="0" defaultSize="0" autoFill="0" autoLine="0" autoPict="0">
                <anchor moveWithCells="1">
                  <from>
                    <xdr:col>4</xdr:col>
                    <xdr:colOff>142875</xdr:colOff>
                    <xdr:row>16</xdr:row>
                    <xdr:rowOff>9525</xdr:rowOff>
                  </from>
                  <to>
                    <xdr:col>4</xdr:col>
                    <xdr:colOff>371475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16" name="Check Box 2139">
              <controlPr locked="0" defaultSize="0" autoFill="0" autoLine="0" autoPict="0">
                <anchor moveWithCells="1">
                  <from>
                    <xdr:col>4</xdr:col>
                    <xdr:colOff>142875</xdr:colOff>
                    <xdr:row>17</xdr:row>
                    <xdr:rowOff>9525</xdr:rowOff>
                  </from>
                  <to>
                    <xdr:col>4</xdr:col>
                    <xdr:colOff>371475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17" name="Check Box 2140">
              <controlPr locked="0" defaultSize="0" autoFill="0" autoLine="0" autoPict="0">
                <anchor moveWithCells="1">
                  <from>
                    <xdr:col>4</xdr:col>
                    <xdr:colOff>142875</xdr:colOff>
                    <xdr:row>18</xdr:row>
                    <xdr:rowOff>9525</xdr:rowOff>
                  </from>
                  <to>
                    <xdr:col>4</xdr:col>
                    <xdr:colOff>371475</xdr:colOff>
                    <xdr:row>18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川口市国民健康保険税試算</vt:lpstr>
      <vt:lpstr>川口市国民健康保険税試算!Print_Area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皆川　達郎</cp:lastModifiedBy>
  <cp:revision>0</cp:revision>
  <cp:lastPrinted>2026-03-24T05:58:05Z</cp:lastPrinted>
  <dcterms:created xsi:type="dcterms:W3CDTF">1601-01-01T00:00:00Z</dcterms:created>
  <dcterms:modified xsi:type="dcterms:W3CDTF">2026-06-04T06:20:50Z</dcterms:modified>
</cp:coreProperties>
</file>